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1760" activeTab="0"/>
  </bookViews>
  <sheets>
    <sheet name="INICIO" sheetId="1" r:id="rId1"/>
    <sheet name="NOVAS" sheetId="2" r:id="rId2"/>
    <sheet name="BIAX - UP" sheetId="3" r:id="rId3"/>
    <sheet name="ACUAFLEX" sheetId="4" r:id="rId4"/>
    <sheet name="TUTORIAL" sheetId="5" r:id="rId5"/>
  </sheets>
  <definedNames>
    <definedName name="EXTRACT" localSheetId="1">'NOVAS'!#REF!</definedName>
    <definedName name="_xlnm.Print_Area" localSheetId="3">'ACUAFLEX'!$A$1:$H$71</definedName>
    <definedName name="_xlnm.Print_Area" localSheetId="2">'BIAX - UP'!$A$1:$H$70</definedName>
    <definedName name="_xlnm.Print_Area" localSheetId="1">'NOVAS'!$A$1:$H$70</definedName>
    <definedName name="_xlnm.Print_Area" localSheetId="4">'TUTORIAL'!$A$1:$J$9</definedName>
  </definedNames>
  <calcPr fullCalcOnLoad="1"/>
</workbook>
</file>

<file path=xl/sharedStrings.xml><?xml version="1.0" encoding="utf-8"?>
<sst xmlns="http://schemas.openxmlformats.org/spreadsheetml/2006/main" count="640" uniqueCount="255">
  <si>
    <t>DATOS DE TUBERIA W-Reten, NOVALOC, NOVAFORT</t>
  </si>
  <si>
    <t>Diámetro Nominal</t>
  </si>
  <si>
    <t>Diámetro</t>
  </si>
  <si>
    <t>Rigidez</t>
  </si>
  <si>
    <t>Bd</t>
  </si>
  <si>
    <t>n</t>
  </si>
  <si>
    <t>Norma</t>
  </si>
  <si>
    <t>Nombre</t>
  </si>
  <si>
    <t>110-S8</t>
  </si>
  <si>
    <t>mm</t>
  </si>
  <si>
    <t>NTC-3722-1</t>
  </si>
  <si>
    <t>NOVAFORT</t>
  </si>
  <si>
    <t>160-S8</t>
  </si>
  <si>
    <t>200-S8</t>
  </si>
  <si>
    <t>250-S8</t>
  </si>
  <si>
    <t>315-S8</t>
  </si>
  <si>
    <t>355-S8</t>
  </si>
  <si>
    <t>400-S8</t>
  </si>
  <si>
    <t>450-S8</t>
  </si>
  <si>
    <t>500-S8</t>
  </si>
  <si>
    <t>200-S4</t>
  </si>
  <si>
    <t>250-S4</t>
  </si>
  <si>
    <t>315-S4</t>
  </si>
  <si>
    <t>355-S4</t>
  </si>
  <si>
    <t>400-S4</t>
  </si>
  <si>
    <t>24-S4</t>
  </si>
  <si>
    <t>pulgadas</t>
  </si>
  <si>
    <t>NTC-5055</t>
  </si>
  <si>
    <t>27-S4</t>
  </si>
  <si>
    <t>30-S4</t>
  </si>
  <si>
    <t>33-S4</t>
  </si>
  <si>
    <t>36-S4</t>
  </si>
  <si>
    <t>NTC-5070</t>
  </si>
  <si>
    <t>NOVALOC</t>
  </si>
  <si>
    <t>Peso</t>
  </si>
  <si>
    <t>[--]</t>
  </si>
  <si>
    <t>[m]</t>
  </si>
  <si>
    <t>[Kg/m2]</t>
  </si>
  <si>
    <t>[psi]</t>
  </si>
  <si>
    <t>Externo [m]</t>
  </si>
  <si>
    <t>Interno [mm]</t>
  </si>
  <si>
    <t>[Kg/m]</t>
  </si>
  <si>
    <t xml:space="preserve">Long efec </t>
  </si>
  <si>
    <t>[kg/m]</t>
  </si>
  <si>
    <t>[mm]</t>
  </si>
  <si>
    <t>Diametro 
Interno</t>
  </si>
  <si>
    <t>Diametro 
Externo</t>
  </si>
  <si>
    <t>Diametro 
Nominal</t>
  </si>
  <si>
    <t>[mm, Pulg]</t>
  </si>
  <si>
    <t>REVISIÓN POR FLOTACION EN TUBERIAS Y CÁLCULO DE LASTRES</t>
  </si>
  <si>
    <t>Seleccione el tipo de tubería</t>
  </si>
  <si>
    <t>Agua Potable</t>
  </si>
  <si>
    <t>BIAXIAL Y UP</t>
  </si>
  <si>
    <t>Saneamiento</t>
  </si>
  <si>
    <t>NOVAFORT Y NOVALOC</t>
  </si>
  <si>
    <t>ACUAFLEX</t>
  </si>
  <si>
    <t>Inicio</t>
  </si>
  <si>
    <t>REVISIÓN POR FLOTACIÓN</t>
  </si>
  <si>
    <t>Hoja 1 de 2</t>
  </si>
  <si>
    <t>TUBERÍA NOVAFORT - NOVALOC</t>
  </si>
  <si>
    <t>Datos de Instalación</t>
  </si>
  <si>
    <t xml:space="preserve">Cota clave </t>
  </si>
  <si>
    <t>Superior</t>
  </si>
  <si>
    <t>Inferior</t>
  </si>
  <si>
    <t>Cota rasante</t>
  </si>
  <si>
    <t>H. Zanja</t>
  </si>
  <si>
    <t>H. Seco</t>
  </si>
  <si>
    <t>H. humedo</t>
  </si>
  <si>
    <t>Propiedades del suelo</t>
  </si>
  <si>
    <t>VALORES DE PESOS VOLUMETRICOS TÍPICOS</t>
  </si>
  <si>
    <t>Material para 
relleno de zanja</t>
  </si>
  <si>
    <t>Fuerza de empuje ascendente por flotación</t>
  </si>
  <si>
    <t>Empuje resistente por el peso del suelo y de la tubería</t>
  </si>
  <si>
    <t>Calculo de las fuerzas sobre la tubería</t>
  </si>
  <si>
    <t>kg/m</t>
  </si>
  <si>
    <t>Factor de Seguridad Por Flotación (FSF)</t>
  </si>
  <si>
    <t>*Valor promedio sugerido, debera ser revisado por el ingeniero responsable del proyecto</t>
  </si>
  <si>
    <t>Proyecto:</t>
  </si>
  <si>
    <t>Tramo:</t>
  </si>
  <si>
    <t>Fecha:</t>
  </si>
  <si>
    <t>Elaboro:</t>
  </si>
  <si>
    <t>[-]</t>
  </si>
  <si>
    <t>FSF deseado (1.0 -1.5) (K)</t>
  </si>
  <si>
    <r>
      <t>Densidad Concreto (W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</si>
  <si>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Peso unitario tuberia (W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</si>
  <si>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Densidad Agua (W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)</t>
    </r>
  </si>
  <si>
    <r>
      <t>Peso unitario contenido tuberia (W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)</t>
    </r>
  </si>
  <si>
    <t>[kg]</t>
  </si>
  <si>
    <t xml:space="preserve">Distancia entre atraques (S) </t>
  </si>
  <si>
    <t>Volumen</t>
  </si>
  <si>
    <t>Condiciones de instalación</t>
  </si>
  <si>
    <t>Pulgadas</t>
  </si>
  <si>
    <t>DATOS DE TUBERIA UP, BIAX, ACUAFLEX</t>
  </si>
  <si>
    <t>Externo [mm]</t>
  </si>
  <si>
    <t>Hoja 2 de 2</t>
  </si>
  <si>
    <t>[Pulg]</t>
  </si>
  <si>
    <t>2" - UP - RDE 21</t>
  </si>
  <si>
    <t>2 1/2" - UP - RDE 21</t>
  </si>
  <si>
    <t>3" - UP - RDE 21</t>
  </si>
  <si>
    <t>4" - UP - RDE 21</t>
  </si>
  <si>
    <t>6" - UP - RDE 21</t>
  </si>
  <si>
    <t xml:space="preserve"> 8" - UP - RDE 21</t>
  </si>
  <si>
    <t>10" - UP - RDE 21</t>
  </si>
  <si>
    <t>12" - UP - RDE 21</t>
  </si>
  <si>
    <t>14" - UP - RDE 21</t>
  </si>
  <si>
    <t>16" - UP - RDE 21</t>
  </si>
  <si>
    <t>18" - UP - RDE 21</t>
  </si>
  <si>
    <t>20" - UP - RDE 21</t>
  </si>
  <si>
    <t>24" - UP - RDE 21</t>
  </si>
  <si>
    <t>2" - UP - RDE 26</t>
  </si>
  <si>
    <t>2 1/2" - UP - RDE 26</t>
  </si>
  <si>
    <t>3" - UP - RDE 26</t>
  </si>
  <si>
    <t>4" - UP - RDE 26</t>
  </si>
  <si>
    <t>6" - UP - RDE 26</t>
  </si>
  <si>
    <t xml:space="preserve"> 8" - UP - RDE 26</t>
  </si>
  <si>
    <t>10" - UP - RDE 26</t>
  </si>
  <si>
    <t>12" - UP - RDE 26</t>
  </si>
  <si>
    <t>14" - UP - RDE 26</t>
  </si>
  <si>
    <t>16" - UP - RDE 26</t>
  </si>
  <si>
    <t>18" - UP - RDE 26</t>
  </si>
  <si>
    <t>20" - UP - RDE 26</t>
  </si>
  <si>
    <t>24" - UP - RDE 26</t>
  </si>
  <si>
    <t>3" - UP - RDE 32.5</t>
  </si>
  <si>
    <t>4" - UP - RDE 32.5</t>
  </si>
  <si>
    <t>6" - UP - RDE 32.5</t>
  </si>
  <si>
    <t xml:space="preserve"> 8" - UP - RDE 32.5</t>
  </si>
  <si>
    <t>10" - UP - RDE 32.5</t>
  </si>
  <si>
    <t>12" - UP - RDE 32.5</t>
  </si>
  <si>
    <t>14" - UP - RDE 32.5</t>
  </si>
  <si>
    <t>16" - UP - RDE 32.5</t>
  </si>
  <si>
    <t>18" - UP - RDE 32.5</t>
  </si>
  <si>
    <t>20" - UP - RDE 32.5</t>
  </si>
  <si>
    <t>24" - UP - RDE 32.5</t>
  </si>
  <si>
    <t>4" - UP - RDE 41</t>
  </si>
  <si>
    <t>6" - UP - RDE 41</t>
  </si>
  <si>
    <t>8" - UP - RDE 41</t>
  </si>
  <si>
    <t>10" - UP - RDE 41</t>
  </si>
  <si>
    <t>12" - UP - RDE 41</t>
  </si>
  <si>
    <t>14" - UP - RDE 41</t>
  </si>
  <si>
    <t>16" - UP - RDE 41</t>
  </si>
  <si>
    <t>18" - UP - RDE 41</t>
  </si>
  <si>
    <t>20" - UP - RDE 41</t>
  </si>
  <si>
    <t>24" - UP - RDE 41</t>
  </si>
  <si>
    <t>4" - BIAX - PR 200</t>
  </si>
  <si>
    <t>6" - BIAX - PR 200</t>
  </si>
  <si>
    <t>8" - BIAX - PR 200</t>
  </si>
  <si>
    <t>10" - BIAX - PR 200</t>
  </si>
  <si>
    <t>12" - BIAX - PR 200</t>
  </si>
  <si>
    <t xml:space="preserve"> 14" - BIAX - PR 200</t>
  </si>
  <si>
    <t>4" - BIAX - PR 160</t>
  </si>
  <si>
    <t>6" - BIAX - PR 160</t>
  </si>
  <si>
    <t>8" - BIAX - PR 160</t>
  </si>
  <si>
    <t>10" - BIAX - PR 160</t>
  </si>
  <si>
    <t>12" - BIAX - PR 160</t>
  </si>
  <si>
    <t xml:space="preserve"> 14" - BIAX - PR 160</t>
  </si>
  <si>
    <t>63 mm - PN 10 - PE 100</t>
  </si>
  <si>
    <t>90 mm - PN 10 - PE 100</t>
  </si>
  <si>
    <t>110 mm - PN 10 - PE 100</t>
  </si>
  <si>
    <t>160 mm - PN 10 - PE 100</t>
  </si>
  <si>
    <t>200 mm - PN 10 - PE 100</t>
  </si>
  <si>
    <t>250 mm - PN 10 - PE 100</t>
  </si>
  <si>
    <t>63 mm - PN 16 - PE 100</t>
  </si>
  <si>
    <t>90 mm - PN 16 - PE 100</t>
  </si>
  <si>
    <t>110 mm - PN 16 - PE 100</t>
  </si>
  <si>
    <t>160 mm - PN 16 - PE 100</t>
  </si>
  <si>
    <t>200 mm - PN 16 - PE 100</t>
  </si>
  <si>
    <t>250 mm - PN 16 - PE 100</t>
  </si>
  <si>
    <t>H. Nivel freatico</t>
  </si>
  <si>
    <r>
      <t>Observaciones: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Para un relleno parcial se debe asegurar el valor de lleno minimo para evitar que la tubería flote.</t>
    </r>
  </si>
  <si>
    <t>Peso del atraque (Wa)</t>
  </si>
  <si>
    <t>Material granular sin cohesión</t>
  </si>
  <si>
    <t>Arena y suelo de cobertura ligeramente húmedo</t>
  </si>
  <si>
    <t>Suelo de cobertura saturado</t>
  </si>
  <si>
    <t>Arcilla saturada</t>
  </si>
  <si>
    <t>Arcilla ligeramente húmeda</t>
  </si>
  <si>
    <t>Arena húmeda</t>
  </si>
  <si>
    <t>Arena común ligeramente húmeda</t>
  </si>
  <si>
    <t>Arena seca</t>
  </si>
  <si>
    <t>ku</t>
  </si>
  <si>
    <t>Tipo de Relleno</t>
  </si>
  <si>
    <t xml:space="preserve"> Kg/m3</t>
  </si>
  <si>
    <t>Lleno mínimo (Para no usar lastre)</t>
  </si>
  <si>
    <t>Calculo del peso del lastre</t>
  </si>
  <si>
    <t>Dimensiones del lastre</t>
  </si>
  <si>
    <t>Unidad de volumen externo (V)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</si>
  <si>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</si>
  <si>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</si>
  <si>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/m]</t>
    </r>
  </si>
  <si>
    <r>
      <t>Densidad suelo seco [kg/m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]*</t>
    </r>
  </si>
  <si>
    <t>CÁLCULO DEL LASTRE</t>
  </si>
  <si>
    <r>
      <t>Observaciones:</t>
    </r>
    <r>
      <rPr>
        <u val="single"/>
        <sz val="10"/>
        <rFont val="Arial"/>
        <family val="0"/>
      </rPr>
      <t xml:space="preserve"> Para un relleno parcial se debe asegurar el valor de lleno minimo para evitar que la tubería flote.</t>
    </r>
  </si>
  <si>
    <t>Ancho Lastre (A)</t>
  </si>
  <si>
    <t>Altura Lastre (H)</t>
  </si>
  <si>
    <t xml:space="preserve">Distancia entre lastres (S) </t>
  </si>
  <si>
    <r>
      <t>Observaciones:</t>
    </r>
    <r>
      <rPr>
        <sz val="10"/>
        <rFont val="Arial"/>
        <family val="2"/>
      </rPr>
      <t xml:space="preserve"> </t>
    </r>
  </si>
  <si>
    <r>
      <t xml:space="preserve">Tutorial </t>
    </r>
    <r>
      <rPr>
        <b/>
        <u val="single"/>
        <sz val="14"/>
        <color indexed="10"/>
        <rFont val="Arial"/>
        <family val="2"/>
      </rPr>
      <t>→</t>
    </r>
  </si>
  <si>
    <t>OPERACIÓN DE LA TABLA DE CÁLCULO</t>
  </si>
  <si>
    <t>El Factor de Seguridad por Flotación (FSF)se calcula mediante a siguiente expresión:
Este valor se recomienda que sea como mínimo 1.1. Para el diseño del Lastres se pueden tomar valores entre 1.1 y 1.5.</t>
  </si>
  <si>
    <t>Longitud del lastre (La)</t>
  </si>
  <si>
    <t>Longitud del atraque (La)</t>
  </si>
  <si>
    <t xml:space="preserve">Solo suministrar la información de las celdas con letras en color </t>
  </si>
  <si>
    <t>rojo</t>
  </si>
  <si>
    <t xml:space="preserve">Los resultados que arroja la hoja de calculo, aparecen en las celdas con letra color </t>
  </si>
  <si>
    <t>verde</t>
  </si>
  <si>
    <t xml:space="preserve">El peso del lastre requerido se calcula con la siguiente expresión:
donde:
Densidad Concreto (Wc)
Densidad Agua (Wm)
Distancia entre atraques (S) 
FSF deseado (1.0 -1.5) (K)
Peso unitario tuberia (Wp)
Peso unitario contenido tuberia (Ws)
Unidad de volumen externo (V)
Peso del atraque (Wa)
</t>
  </si>
  <si>
    <t>El ingeniero responsable del proyecto deberá revisar la densidad del suelo seco y humedo dependiendo del material de relleno.</t>
  </si>
  <si>
    <r>
      <t>Densidad suelo sumergido [kg/m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]*</t>
    </r>
  </si>
  <si>
    <r>
      <t>Densidad suelo sumergido
[kg/m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]*</t>
    </r>
  </si>
  <si>
    <t>Peso del lastre (Wa)</t>
  </si>
  <si>
    <t xml:space="preserve">Ovservaciones: </t>
  </si>
  <si>
    <t xml:space="preserve">Observaciones: </t>
  </si>
  <si>
    <t>75 mm - PN 10 - PE 100</t>
  </si>
  <si>
    <t>315 mm - PN 10 - PE 100</t>
  </si>
  <si>
    <t>355 mm - PN 10 - PE 100</t>
  </si>
  <si>
    <t>400 mm - PN 10 - PE 100</t>
  </si>
  <si>
    <t>50 mm - PN 16 - PE 100</t>
  </si>
  <si>
    <t>75 mm - PN 16 - PE 100</t>
  </si>
  <si>
    <t>315 mm - PN 16 - PE 100</t>
  </si>
  <si>
    <t>355 mm - PN 16 - PE 100</t>
  </si>
  <si>
    <t>400 mm - PN 16 - PE 100</t>
  </si>
  <si>
    <t>50 mm - PN 6 - PE 100</t>
  </si>
  <si>
    <t>63 mm - PN 6 - PE 100</t>
  </si>
  <si>
    <t>75 mm - PN 6 - PE 100</t>
  </si>
  <si>
    <t>90 mm - PN 6 - PE 100</t>
  </si>
  <si>
    <t>110 mm - PN 6 - PE 100</t>
  </si>
  <si>
    <t>160 mm - PN 6 - PE 100</t>
  </si>
  <si>
    <t>200 mm - PN 6 - PE 100</t>
  </si>
  <si>
    <t>250 mm - PN 6 - PE 100</t>
  </si>
  <si>
    <t>315 mm - PN 6 - PE 100</t>
  </si>
  <si>
    <t>355 mm - PN 6 - PE 100</t>
  </si>
  <si>
    <t>400 mm - PN 6 - PE 100</t>
  </si>
  <si>
    <t>50 mm - PN 8 - PE 100</t>
  </si>
  <si>
    <t>63 mm - PN 8 - PE 100</t>
  </si>
  <si>
    <t>75 mm - PN 8 - PE 100</t>
  </si>
  <si>
    <t>90 mm - PN 8 - PE 100</t>
  </si>
  <si>
    <t>110 mm - PN 8 - PE 100</t>
  </si>
  <si>
    <t>160 mm - PN 8 - PE 100</t>
  </si>
  <si>
    <t>200 mm - PN 8 - PE 100</t>
  </si>
  <si>
    <t>250 mm - PN 8 - PE 100</t>
  </si>
  <si>
    <t>315 mm - PN 8 - PE 100</t>
  </si>
  <si>
    <t>355 mm - PN 8 - PE 100</t>
  </si>
  <si>
    <t>400 mm - PN 8 - PE 100</t>
  </si>
  <si>
    <t>63 mm - PN 12.5 - PE 100</t>
  </si>
  <si>
    <t>75 mm - PN 12.5 - PE 100</t>
  </si>
  <si>
    <t>90 mm - PN 12.5 - PE 100</t>
  </si>
  <si>
    <t>110 mm - PN 12.5 - PE 100</t>
  </si>
  <si>
    <t>160 mm - PN 12.5 - PE 100</t>
  </si>
  <si>
    <t>200 mm - PN 12.5 - PE 100</t>
  </si>
  <si>
    <t>250 mm - PN 12.5 - PE 100</t>
  </si>
  <si>
    <t>315 mm - PN 12.5 - PE 100</t>
  </si>
  <si>
    <t>355 mm - PN 12.5 - PE 100</t>
  </si>
  <si>
    <t>400 mm - PN 12.5 - PE 100</t>
  </si>
  <si>
    <t>TUBERÍA UNION PLATINO Y BIAXIAL</t>
  </si>
  <si>
    <t>TUBERÍA ACUAFLEX</t>
  </si>
  <si>
    <t>TUBERÍA NOVAFORT Y NOVALOC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</si>
</sst>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"/>
    <numFmt numFmtId="171" formatCode="0.00_)"/>
    <numFmt numFmtId="172" formatCode="0.000_)"/>
    <numFmt numFmtId="173" formatCode="0.000"/>
    <numFmt numFmtId="174" formatCode="0.0000"/>
    <numFmt numFmtId="175" formatCode="#,##0.0000000"/>
    <numFmt numFmtId="176" formatCode="0.0"/>
    <numFmt numFmtId="177" formatCode="0.000000"/>
    <numFmt numFmtId="178" formatCode="0.00000"/>
    <numFmt numFmtId="179" formatCode="0.00000000"/>
    <numFmt numFmtId="180" formatCode="0.0000000"/>
    <numFmt numFmtId="181" formatCode="0.0_)"/>
    <numFmt numFmtId="182" formatCode="General_)"/>
    <numFmt numFmtId="183" formatCode="_ * #,##0.00_ ;_ * \-#,##0.00_ ;_ * &quot;-&quot;??_ ;_ @_ "/>
  </numFmts>
  <fonts count="5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u val="single"/>
      <sz val="7.5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0"/>
    </font>
    <font>
      <vertAlign val="subscript"/>
      <sz val="10"/>
      <name val="Arial"/>
      <family val="2"/>
    </font>
    <font>
      <b/>
      <sz val="10"/>
      <color indexed="17"/>
      <name val="Arial"/>
      <family val="2"/>
    </font>
    <font>
      <sz val="10"/>
      <name val="Courier"/>
      <family val="0"/>
    </font>
    <font>
      <b/>
      <u val="single"/>
      <sz val="10"/>
      <name val="Arial"/>
      <family val="2"/>
    </font>
    <font>
      <b/>
      <sz val="10"/>
      <color indexed="57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182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59">
    <xf numFmtId="0" fontId="0" fillId="0" borderId="0" xfId="0" applyAlignment="1">
      <alignment/>
    </xf>
    <xf numFmtId="170" fontId="1" fillId="33" borderId="10" xfId="0" applyNumberFormat="1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171" fontId="1" fillId="33" borderId="13" xfId="0" applyNumberFormat="1" applyFont="1" applyFill="1" applyBorder="1" applyAlignment="1" applyProtection="1">
      <alignment horizontal="center"/>
      <protection hidden="1"/>
    </xf>
    <xf numFmtId="170" fontId="1" fillId="33" borderId="13" xfId="0" applyNumberFormat="1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170" fontId="3" fillId="33" borderId="16" xfId="0" applyNumberFormat="1" applyFont="1" applyFill="1" applyBorder="1" applyAlignment="1" applyProtection="1">
      <alignment horizontal="center" vertical="center"/>
      <protection hidden="1"/>
    </xf>
    <xf numFmtId="170" fontId="3" fillId="33" borderId="10" xfId="0" applyNumberFormat="1" applyFont="1" applyFill="1" applyBorder="1" applyAlignment="1" applyProtection="1">
      <alignment horizontal="center" vertical="center"/>
      <protection hidden="1"/>
    </xf>
    <xf numFmtId="171" fontId="3" fillId="33" borderId="10" xfId="0" applyNumberFormat="1" applyFont="1" applyFill="1" applyBorder="1" applyAlignment="1" applyProtection="1">
      <alignment horizontal="center" vertical="center"/>
      <protection hidden="1"/>
    </xf>
    <xf numFmtId="172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173" fontId="3" fillId="33" borderId="10" xfId="0" applyNumberFormat="1" applyFont="1" applyFill="1" applyBorder="1" applyAlignment="1" applyProtection="1">
      <alignment horizontal="center" vertical="center"/>
      <protection hidden="1"/>
    </xf>
    <xf numFmtId="171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170" fontId="3" fillId="33" borderId="17" xfId="0" applyNumberFormat="1" applyFont="1" applyFill="1" applyBorder="1" applyAlignment="1" applyProtection="1">
      <alignment horizontal="center" vertical="center"/>
      <protection hidden="1"/>
    </xf>
    <xf numFmtId="170" fontId="3" fillId="33" borderId="18" xfId="0" applyNumberFormat="1" applyFont="1" applyFill="1" applyBorder="1" applyAlignment="1" applyProtection="1">
      <alignment horizontal="center" vertical="center"/>
      <protection hidden="1"/>
    </xf>
    <xf numFmtId="171" fontId="3" fillId="33" borderId="18" xfId="0" applyNumberFormat="1" applyFont="1" applyFill="1" applyBorder="1" applyAlignment="1" applyProtection="1">
      <alignment horizontal="center" vertical="center"/>
      <protection hidden="1"/>
    </xf>
    <xf numFmtId="172" fontId="3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173" fontId="3" fillId="33" borderId="18" xfId="0" applyNumberFormat="1" applyFont="1" applyFill="1" applyBorder="1" applyAlignment="1" applyProtection="1">
      <alignment horizontal="center" vertical="center"/>
      <protection hidden="1"/>
    </xf>
    <xf numFmtId="171" fontId="0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170" fontId="3" fillId="33" borderId="20" xfId="0" applyNumberFormat="1" applyFont="1" applyFill="1" applyBorder="1" applyAlignment="1" applyProtection="1">
      <alignment horizontal="center" vertical="center"/>
      <protection hidden="1"/>
    </xf>
    <xf numFmtId="170" fontId="3" fillId="33" borderId="21" xfId="0" applyNumberFormat="1" applyFont="1" applyFill="1" applyBorder="1" applyAlignment="1" applyProtection="1">
      <alignment horizontal="center" vertical="center"/>
      <protection hidden="1"/>
    </xf>
    <xf numFmtId="171" fontId="3" fillId="33" borderId="21" xfId="0" applyNumberFormat="1" applyFont="1" applyFill="1" applyBorder="1" applyAlignment="1" applyProtection="1">
      <alignment horizontal="center" vertical="center"/>
      <protection hidden="1"/>
    </xf>
    <xf numFmtId="172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173" fontId="3" fillId="33" borderId="21" xfId="0" applyNumberFormat="1" applyFont="1" applyFill="1" applyBorder="1" applyAlignment="1" applyProtection="1">
      <alignment horizontal="center" vertical="center"/>
      <protection hidden="1"/>
    </xf>
    <xf numFmtId="171" fontId="0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2" fontId="3" fillId="33" borderId="10" xfId="0" applyNumberFormat="1" applyFont="1" applyFill="1" applyBorder="1" applyAlignment="1" applyProtection="1">
      <alignment horizontal="center" vertical="center"/>
      <protection hidden="1"/>
    </xf>
    <xf numFmtId="2" fontId="3" fillId="33" borderId="18" xfId="0" applyNumberFormat="1" applyFont="1" applyFill="1" applyBorder="1" applyAlignment="1" applyProtection="1">
      <alignment horizontal="center" vertical="center"/>
      <protection hidden="1"/>
    </xf>
    <xf numFmtId="2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8" xfId="0" applyFill="1" applyBorder="1" applyAlignment="1">
      <alignment/>
    </xf>
    <xf numFmtId="0" fontId="4" fillId="34" borderId="26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27" xfId="0" applyFont="1" applyFill="1" applyBorder="1" applyAlignment="1">
      <alignment vertical="center" wrapText="1"/>
    </xf>
    <xf numFmtId="0" fontId="5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left" vertical="center"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2" fillId="34" borderId="0" xfId="0" applyFont="1" applyFill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left"/>
    </xf>
    <xf numFmtId="0" fontId="2" fillId="36" borderId="17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1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173" fontId="0" fillId="35" borderId="19" xfId="0" applyNumberForma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76" fontId="0" fillId="35" borderId="18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 wrapText="1"/>
    </xf>
    <xf numFmtId="170" fontId="1" fillId="37" borderId="10" xfId="0" applyNumberFormat="1" applyFont="1" applyFill="1" applyBorder="1" applyAlignment="1" applyProtection="1">
      <alignment horizontal="center"/>
      <protection hidden="1"/>
    </xf>
    <xf numFmtId="0" fontId="1" fillId="37" borderId="10" xfId="0" applyFont="1" applyFill="1" applyBorder="1" applyAlignment="1" applyProtection="1">
      <alignment horizontal="center"/>
      <protection hidden="1"/>
    </xf>
    <xf numFmtId="0" fontId="1" fillId="37" borderId="12" xfId="0" applyFont="1" applyFill="1" applyBorder="1" applyAlignment="1" applyProtection="1">
      <alignment horizontal="center"/>
      <protection hidden="1"/>
    </xf>
    <xf numFmtId="171" fontId="1" fillId="37" borderId="13" xfId="0" applyNumberFormat="1" applyFont="1" applyFill="1" applyBorder="1" applyAlignment="1" applyProtection="1">
      <alignment horizontal="center"/>
      <protection hidden="1"/>
    </xf>
    <xf numFmtId="170" fontId="1" fillId="37" borderId="13" xfId="0" applyNumberFormat="1" applyFont="1" applyFill="1" applyBorder="1" applyAlignment="1" applyProtection="1">
      <alignment horizontal="center"/>
      <protection hidden="1"/>
    </xf>
    <xf numFmtId="0" fontId="1" fillId="37" borderId="13" xfId="0" applyFont="1" applyFill="1" applyBorder="1" applyAlignment="1" applyProtection="1">
      <alignment horizontal="center"/>
      <protection hidden="1"/>
    </xf>
    <xf numFmtId="0" fontId="1" fillId="37" borderId="15" xfId="0" applyFont="1" applyFill="1" applyBorder="1" applyAlignment="1" applyProtection="1">
      <alignment horizontal="center"/>
      <protection hidden="1"/>
    </xf>
    <xf numFmtId="170" fontId="3" fillId="35" borderId="16" xfId="0" applyNumberFormat="1" applyFont="1" applyFill="1" applyBorder="1" applyAlignment="1" applyProtection="1">
      <alignment horizontal="center" vertical="center"/>
      <protection hidden="1"/>
    </xf>
    <xf numFmtId="170" fontId="3" fillId="35" borderId="10" xfId="0" applyNumberFormat="1" applyFont="1" applyFill="1" applyBorder="1" applyAlignment="1" applyProtection="1">
      <alignment horizontal="center" vertical="center"/>
      <protection hidden="1"/>
    </xf>
    <xf numFmtId="171" fontId="3" fillId="35" borderId="10" xfId="0" applyNumberFormat="1" applyFont="1" applyFill="1" applyBorder="1" applyAlignment="1" applyProtection="1">
      <alignment horizontal="center" vertical="center"/>
      <protection hidden="1"/>
    </xf>
    <xf numFmtId="181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170" fontId="3" fillId="35" borderId="17" xfId="0" applyNumberFormat="1" applyFont="1" applyFill="1" applyBorder="1" applyAlignment="1" applyProtection="1">
      <alignment horizontal="center" vertical="center"/>
      <protection hidden="1"/>
    </xf>
    <xf numFmtId="170" fontId="3" fillId="35" borderId="18" xfId="0" applyNumberFormat="1" applyFont="1" applyFill="1" applyBorder="1" applyAlignment="1" applyProtection="1">
      <alignment horizontal="center" vertical="center"/>
      <protection hidden="1"/>
    </xf>
    <xf numFmtId="171" fontId="3" fillId="35" borderId="18" xfId="0" applyNumberFormat="1" applyFont="1" applyFill="1" applyBorder="1" applyAlignment="1" applyProtection="1">
      <alignment horizontal="center" vertical="center"/>
      <protection hidden="1"/>
    </xf>
    <xf numFmtId="181" fontId="3" fillId="35" borderId="18" xfId="0" applyNumberFormat="1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3" fillId="35" borderId="19" xfId="0" applyFont="1" applyFill="1" applyBorder="1" applyAlignment="1" applyProtection="1">
      <alignment horizontal="center" vertical="center"/>
      <protection hidden="1"/>
    </xf>
    <xf numFmtId="170" fontId="3" fillId="35" borderId="39" xfId="0" applyNumberFormat="1" applyFont="1" applyFill="1" applyBorder="1" applyAlignment="1" applyProtection="1">
      <alignment horizontal="center" vertical="center"/>
      <protection hidden="1"/>
    </xf>
    <xf numFmtId="170" fontId="3" fillId="35" borderId="13" xfId="0" applyNumberFormat="1" applyFont="1" applyFill="1" applyBorder="1" applyAlignment="1" applyProtection="1">
      <alignment horizontal="center" vertical="center"/>
      <protection hidden="1"/>
    </xf>
    <xf numFmtId="181" fontId="3" fillId="35" borderId="13" xfId="0" applyNumberFormat="1" applyFont="1" applyFill="1" applyBorder="1" applyAlignment="1" applyProtection="1">
      <alignment horizontal="center" vertical="center"/>
      <protection hidden="1"/>
    </xf>
    <xf numFmtId="0" fontId="3" fillId="35" borderId="13" xfId="0" applyFont="1" applyFill="1" applyBorder="1" applyAlignment="1" applyProtection="1">
      <alignment horizontal="center" vertical="center"/>
      <protection hidden="1"/>
    </xf>
    <xf numFmtId="170" fontId="3" fillId="35" borderId="20" xfId="0" applyNumberFormat="1" applyFont="1" applyFill="1" applyBorder="1" applyAlignment="1" applyProtection="1">
      <alignment horizontal="center" vertical="center"/>
      <protection hidden="1"/>
    </xf>
    <xf numFmtId="170" fontId="3" fillId="35" borderId="21" xfId="0" applyNumberFormat="1" applyFont="1" applyFill="1" applyBorder="1" applyAlignment="1" applyProtection="1">
      <alignment horizontal="center" vertical="center"/>
      <protection hidden="1"/>
    </xf>
    <xf numFmtId="181" fontId="3" fillId="35" borderId="21" xfId="0" applyNumberFormat="1" applyFont="1" applyFill="1" applyBorder="1" applyAlignment="1" applyProtection="1">
      <alignment horizontal="center" vertical="center"/>
      <protection hidden="1"/>
    </xf>
    <xf numFmtId="171" fontId="3" fillId="35" borderId="21" xfId="0" applyNumberFormat="1" applyFont="1" applyFill="1" applyBorder="1" applyAlignment="1" applyProtection="1">
      <alignment horizontal="center" vertical="center"/>
      <protection hidden="1"/>
    </xf>
    <xf numFmtId="171" fontId="3" fillId="35" borderId="13" xfId="0" applyNumberFormat="1" applyFont="1" applyFill="1" applyBorder="1" applyAlignment="1" applyProtection="1">
      <alignment horizontal="center" vertical="center"/>
      <protection hidden="1"/>
    </xf>
    <xf numFmtId="170" fontId="3" fillId="36" borderId="16" xfId="0" applyNumberFormat="1" applyFont="1" applyFill="1" applyBorder="1" applyAlignment="1" applyProtection="1">
      <alignment horizontal="center" vertical="center"/>
      <protection hidden="1"/>
    </xf>
    <xf numFmtId="170" fontId="3" fillId="36" borderId="10" xfId="0" applyNumberFormat="1" applyFont="1" applyFill="1" applyBorder="1" applyAlignment="1" applyProtection="1">
      <alignment horizontal="center" vertical="center"/>
      <protection hidden="1"/>
    </xf>
    <xf numFmtId="171" fontId="3" fillId="36" borderId="10" xfId="0" applyNumberFormat="1" applyFont="1" applyFill="1" applyBorder="1" applyAlignment="1" applyProtection="1">
      <alignment horizontal="center" vertical="center"/>
      <protection hidden="1"/>
    </xf>
    <xf numFmtId="181" fontId="3" fillId="36" borderId="10" xfId="0" applyNumberFormat="1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170" fontId="3" fillId="36" borderId="17" xfId="0" applyNumberFormat="1" applyFont="1" applyFill="1" applyBorder="1" applyAlignment="1" applyProtection="1">
      <alignment horizontal="center" vertical="center"/>
      <protection hidden="1"/>
    </xf>
    <xf numFmtId="170" fontId="3" fillId="36" borderId="18" xfId="0" applyNumberFormat="1" applyFont="1" applyFill="1" applyBorder="1" applyAlignment="1" applyProtection="1">
      <alignment horizontal="center" vertical="center"/>
      <protection hidden="1"/>
    </xf>
    <xf numFmtId="171" fontId="3" fillId="36" borderId="18" xfId="0" applyNumberFormat="1" applyFont="1" applyFill="1" applyBorder="1" applyAlignment="1" applyProtection="1">
      <alignment horizontal="center" vertical="center"/>
      <protection hidden="1"/>
    </xf>
    <xf numFmtId="181" fontId="3" fillId="36" borderId="18" xfId="0" applyNumberFormat="1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  <xf numFmtId="170" fontId="3" fillId="36" borderId="39" xfId="0" applyNumberFormat="1" applyFont="1" applyFill="1" applyBorder="1" applyAlignment="1" applyProtection="1">
      <alignment horizontal="center" vertical="center"/>
      <protection hidden="1"/>
    </xf>
    <xf numFmtId="170" fontId="3" fillId="36" borderId="13" xfId="0" applyNumberFormat="1" applyFont="1" applyFill="1" applyBorder="1" applyAlignment="1" applyProtection="1">
      <alignment horizontal="center" vertical="center"/>
      <protection hidden="1"/>
    </xf>
    <xf numFmtId="171" fontId="3" fillId="36" borderId="13" xfId="0" applyNumberFormat="1" applyFont="1" applyFill="1" applyBorder="1" applyAlignment="1" applyProtection="1">
      <alignment horizontal="center" vertical="center"/>
      <protection hidden="1"/>
    </xf>
    <xf numFmtId="181" fontId="3" fillId="36" borderId="13" xfId="0" applyNumberFormat="1" applyFont="1" applyFill="1" applyBorder="1" applyAlignment="1" applyProtection="1">
      <alignment horizontal="center" vertical="center"/>
      <protection hidden="1"/>
    </xf>
    <xf numFmtId="0" fontId="3" fillId="36" borderId="13" xfId="0" applyFont="1" applyFill="1" applyBorder="1" applyAlignment="1" applyProtection="1">
      <alignment horizontal="center" vertical="center"/>
      <protection hidden="1"/>
    </xf>
    <xf numFmtId="170" fontId="3" fillId="36" borderId="20" xfId="0" applyNumberFormat="1" applyFont="1" applyFill="1" applyBorder="1" applyAlignment="1" applyProtection="1">
      <alignment horizontal="center" vertical="center"/>
      <protection hidden="1"/>
    </xf>
    <xf numFmtId="170" fontId="3" fillId="36" borderId="21" xfId="0" applyNumberFormat="1" applyFont="1" applyFill="1" applyBorder="1" applyAlignment="1" applyProtection="1">
      <alignment horizontal="center" vertical="center"/>
      <protection hidden="1"/>
    </xf>
    <xf numFmtId="171" fontId="3" fillId="36" borderId="21" xfId="0" applyNumberFormat="1" applyFont="1" applyFill="1" applyBorder="1" applyAlignment="1" applyProtection="1">
      <alignment horizontal="center" vertical="center"/>
      <protection hidden="1"/>
    </xf>
    <xf numFmtId="181" fontId="3" fillId="36" borderId="21" xfId="0" applyNumberFormat="1" applyFont="1" applyFill="1" applyBorder="1" applyAlignment="1" applyProtection="1">
      <alignment horizontal="center" vertical="center"/>
      <protection hidden="1"/>
    </xf>
    <xf numFmtId="170" fontId="1" fillId="34" borderId="0" xfId="0" applyNumberFormat="1" applyFont="1" applyFill="1" applyBorder="1" applyAlignment="1" applyProtection="1">
      <alignment/>
      <protection hidden="1"/>
    </xf>
    <xf numFmtId="171" fontId="3" fillId="35" borderId="16" xfId="0" applyNumberFormat="1" applyFont="1" applyFill="1" applyBorder="1" applyAlignment="1" applyProtection="1">
      <alignment horizontal="center" vertical="center"/>
      <protection hidden="1"/>
    </xf>
    <xf numFmtId="171" fontId="3" fillId="35" borderId="17" xfId="0" applyNumberFormat="1" applyFont="1" applyFill="1" applyBorder="1" applyAlignment="1" applyProtection="1">
      <alignment horizontal="center" vertical="center"/>
      <protection hidden="1"/>
    </xf>
    <xf numFmtId="171" fontId="3" fillId="35" borderId="20" xfId="0" applyNumberFormat="1" applyFont="1" applyFill="1" applyBorder="1" applyAlignment="1" applyProtection="1">
      <alignment horizontal="center" vertical="center"/>
      <protection hidden="1"/>
    </xf>
    <xf numFmtId="171" fontId="3" fillId="36" borderId="16" xfId="0" applyNumberFormat="1" applyFont="1" applyFill="1" applyBorder="1" applyAlignment="1" applyProtection="1">
      <alignment horizontal="center" vertical="center"/>
      <protection hidden="1"/>
    </xf>
    <xf numFmtId="171" fontId="3" fillId="36" borderId="17" xfId="0" applyNumberFormat="1" applyFont="1" applyFill="1" applyBorder="1" applyAlignment="1" applyProtection="1">
      <alignment horizontal="center" vertical="center"/>
      <protection hidden="1"/>
    </xf>
    <xf numFmtId="171" fontId="3" fillId="36" borderId="20" xfId="0" applyNumberFormat="1" applyFont="1" applyFill="1" applyBorder="1" applyAlignment="1" applyProtection="1">
      <alignment horizontal="center" vertical="center"/>
      <protection hidden="1"/>
    </xf>
    <xf numFmtId="0" fontId="0" fillId="36" borderId="3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5" borderId="22" xfId="0" applyFont="1" applyFill="1" applyBorder="1" applyAlignment="1" applyProtection="1">
      <alignment horizontal="center" vertical="center"/>
      <protection hidden="1"/>
    </xf>
    <xf numFmtId="0" fontId="0" fillId="36" borderId="17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3" fillId="34" borderId="0" xfId="0" applyFont="1" applyFill="1" applyAlignment="1">
      <alignment horizontal="left" vertical="center" wrapText="1"/>
    </xf>
    <xf numFmtId="0" fontId="9" fillId="34" borderId="0" xfId="0" applyFont="1" applyFill="1" applyBorder="1" applyAlignment="1">
      <alignment vertical="center" wrapText="1"/>
    </xf>
    <xf numFmtId="182" fontId="0" fillId="38" borderId="0" xfId="52" applyFont="1" applyFill="1" applyBorder="1" applyProtection="1">
      <alignment/>
      <protection locked="0"/>
    </xf>
    <xf numFmtId="182" fontId="0" fillId="38" borderId="0" xfId="52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182" fontId="3" fillId="33" borderId="0" xfId="52" applyNumberFormat="1" applyFont="1" applyFill="1" applyBorder="1" applyProtection="1">
      <alignment/>
      <protection hidden="1"/>
    </xf>
    <xf numFmtId="182" fontId="3" fillId="33" borderId="0" xfId="52" applyFont="1" applyFill="1" applyBorder="1" applyProtection="1">
      <alignment/>
      <protection hidden="1"/>
    </xf>
    <xf numFmtId="182" fontId="3" fillId="33" borderId="0" xfId="52" applyFont="1" applyFill="1" applyBorder="1" applyAlignment="1" applyProtection="1">
      <alignment horizontal="centerContinuous"/>
      <protection hidden="1"/>
    </xf>
    <xf numFmtId="170" fontId="3" fillId="33" borderId="0" xfId="0" applyNumberFormat="1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82" fontId="0" fillId="38" borderId="23" xfId="52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2" fontId="0" fillId="38" borderId="26" xfId="52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182" fontId="0" fillId="38" borderId="28" xfId="52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174" fontId="3" fillId="33" borderId="16" xfId="52" applyNumberFormat="1" applyFont="1" applyFill="1" applyBorder="1" applyAlignment="1" applyProtection="1">
      <alignment horizontal="center"/>
      <protection hidden="1"/>
    </xf>
    <xf numFmtId="38" fontId="3" fillId="33" borderId="12" xfId="47" applyNumberFormat="1" applyFont="1" applyFill="1" applyBorder="1" applyAlignment="1" applyProtection="1">
      <alignment horizontal="center"/>
      <protection hidden="1"/>
    </xf>
    <xf numFmtId="174" fontId="3" fillId="33" borderId="17" xfId="52" applyNumberFormat="1" applyFont="1" applyFill="1" applyBorder="1" applyAlignment="1" applyProtection="1">
      <alignment horizontal="center"/>
      <protection hidden="1"/>
    </xf>
    <xf numFmtId="38" fontId="3" fillId="33" borderId="19" xfId="47" applyNumberFormat="1" applyFont="1" applyFill="1" applyBorder="1" applyAlignment="1" applyProtection="1">
      <alignment horizontal="center"/>
      <protection hidden="1"/>
    </xf>
    <xf numFmtId="174" fontId="3" fillId="33" borderId="17" xfId="52" applyNumberFormat="1" applyFont="1" applyFill="1" applyBorder="1" applyAlignment="1" applyProtection="1" quotePrefix="1">
      <alignment horizontal="center"/>
      <protection hidden="1"/>
    </xf>
    <xf numFmtId="173" fontId="3" fillId="33" borderId="17" xfId="52" applyNumberFormat="1" applyFont="1" applyFill="1" applyBorder="1" applyAlignment="1" applyProtection="1">
      <alignment horizontal="center"/>
      <protection hidden="1"/>
    </xf>
    <xf numFmtId="174" fontId="3" fillId="33" borderId="20" xfId="0" applyNumberFormat="1" applyFont="1" applyFill="1" applyBorder="1" applyAlignment="1" applyProtection="1">
      <alignment horizontal="center"/>
      <protection hidden="1"/>
    </xf>
    <xf numFmtId="38" fontId="3" fillId="33" borderId="22" xfId="47" applyNumberFormat="1" applyFont="1" applyFill="1" applyBorder="1" applyAlignment="1" applyProtection="1">
      <alignment horizontal="center"/>
      <protection hidden="1"/>
    </xf>
    <xf numFmtId="0" fontId="1" fillId="39" borderId="0" xfId="0" applyFont="1" applyFill="1" applyBorder="1" applyAlignment="1" applyProtection="1">
      <alignment horizontal="centerContinuous"/>
      <protection hidden="1"/>
    </xf>
    <xf numFmtId="0" fontId="3" fillId="39" borderId="0" xfId="0" applyFont="1" applyFill="1" applyBorder="1" applyAlignment="1" applyProtection="1">
      <alignment/>
      <protection hidden="1"/>
    </xf>
    <xf numFmtId="175" fontId="2" fillId="36" borderId="0" xfId="0" applyNumberFormat="1" applyFont="1" applyFill="1" applyBorder="1" applyAlignment="1" applyProtection="1">
      <alignment horizontal="center" vertical="center" wrapText="1"/>
      <protection/>
    </xf>
    <xf numFmtId="176" fontId="2" fillId="36" borderId="0" xfId="0" applyNumberFormat="1" applyFont="1" applyFill="1" applyBorder="1" applyAlignment="1" applyProtection="1">
      <alignment horizontal="justify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 quotePrefix="1">
      <alignment horizontal="center" vertical="center"/>
      <protection/>
    </xf>
    <xf numFmtId="1" fontId="8" fillId="35" borderId="22" xfId="0" applyNumberFormat="1" applyFont="1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/>
    </xf>
    <xf numFmtId="0" fontId="0" fillId="36" borderId="43" xfId="0" applyFill="1" applyBorder="1" applyAlignment="1">
      <alignment/>
    </xf>
    <xf numFmtId="0" fontId="2" fillId="36" borderId="0" xfId="0" applyFont="1" applyFill="1" applyBorder="1" applyAlignment="1" applyProtection="1">
      <alignment vertic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173" fontId="8" fillId="35" borderId="33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2" fillId="36" borderId="20" xfId="0" applyFont="1" applyFill="1" applyBorder="1" applyAlignment="1">
      <alignment vertic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175" fontId="2" fillId="36" borderId="0" xfId="0" applyNumberFormat="1" applyFont="1" applyFill="1" applyBorder="1" applyAlignment="1" applyProtection="1">
      <alignment horizontal="center" vertical="center" wrapText="1"/>
      <protection hidden="1"/>
    </xf>
    <xf numFmtId="176" fontId="2" fillId="36" borderId="0" xfId="0" applyNumberFormat="1" applyFont="1" applyFill="1" applyBorder="1" applyAlignment="1" applyProtection="1">
      <alignment horizontal="justify" vertical="center"/>
      <protection hidden="1"/>
    </xf>
    <xf numFmtId="0" fontId="2" fillId="0" borderId="44" xfId="0" applyFon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 quotePrefix="1">
      <alignment horizontal="center" vertical="center"/>
      <protection hidden="1"/>
    </xf>
    <xf numFmtId="0" fontId="13" fillId="34" borderId="0" xfId="0" applyFont="1" applyFill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73" fontId="0" fillId="35" borderId="19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31" xfId="0" applyFont="1" applyFill="1" applyBorder="1" applyAlignment="1" applyProtection="1">
      <alignment vertical="center" wrapText="1"/>
      <protection locked="0"/>
    </xf>
    <xf numFmtId="38" fontId="3" fillId="33" borderId="0" xfId="47" applyNumberFormat="1" applyFont="1" applyFill="1" applyBorder="1" applyAlignment="1" applyProtection="1">
      <alignment horizontal="center"/>
      <protection hidden="1"/>
    </xf>
    <xf numFmtId="174" fontId="3" fillId="33" borderId="0" xfId="0" applyNumberFormat="1" applyFont="1" applyFill="1" applyBorder="1" applyAlignment="1" applyProtection="1">
      <alignment horizontal="center"/>
      <protection hidden="1"/>
    </xf>
    <xf numFmtId="182" fontId="0" fillId="38" borderId="0" xfId="52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2" fillId="0" borderId="45" xfId="0" applyFont="1" applyBorder="1" applyAlignment="1" applyProtection="1">
      <alignment horizontal="center"/>
      <protection hidden="1"/>
    </xf>
    <xf numFmtId="0" fontId="2" fillId="36" borderId="46" xfId="0" applyFont="1" applyFill="1" applyBorder="1" applyAlignment="1" applyProtection="1">
      <alignment horizontal="center" vertical="center" wrapText="1"/>
      <protection hidden="1"/>
    </xf>
    <xf numFmtId="0" fontId="0" fillId="34" borderId="32" xfId="0" applyFont="1" applyFill="1" applyBorder="1" applyAlignment="1">
      <alignment vertical="center" wrapText="1"/>
    </xf>
    <xf numFmtId="0" fontId="0" fillId="34" borderId="47" xfId="0" applyFont="1" applyFill="1" applyBorder="1" applyAlignment="1">
      <alignment vertical="center" wrapText="1"/>
    </xf>
    <xf numFmtId="2" fontId="11" fillId="40" borderId="18" xfId="0" applyNumberFormat="1" applyFont="1" applyFill="1" applyBorder="1" applyAlignment="1">
      <alignment horizontal="center" vertical="center"/>
    </xf>
    <xf numFmtId="2" fontId="11" fillId="40" borderId="22" xfId="0" applyNumberFormat="1" applyFont="1" applyFill="1" applyBorder="1" applyAlignment="1">
      <alignment horizontal="center" vertical="center"/>
    </xf>
    <xf numFmtId="173" fontId="11" fillId="40" borderId="22" xfId="0" applyNumberFormat="1" applyFont="1" applyFill="1" applyBorder="1" applyAlignment="1">
      <alignment horizontal="center"/>
    </xf>
    <xf numFmtId="0" fontId="7" fillId="38" borderId="19" xfId="0" applyFont="1" applyFill="1" applyBorder="1" applyAlignment="1" applyProtection="1">
      <alignment horizontal="center" vertical="center" wrapText="1"/>
      <protection locked="0"/>
    </xf>
    <xf numFmtId="0" fontId="7" fillId="38" borderId="12" xfId="0" applyFont="1" applyFill="1" applyBorder="1" applyAlignment="1" applyProtection="1">
      <alignment horizontal="center"/>
      <protection locked="0"/>
    </xf>
    <xf numFmtId="0" fontId="7" fillId="38" borderId="20" xfId="0" applyFont="1" applyFill="1" applyBorder="1" applyAlignment="1" applyProtection="1">
      <alignment horizontal="center"/>
      <protection locked="0"/>
    </xf>
    <xf numFmtId="0" fontId="7" fillId="38" borderId="48" xfId="0" applyFont="1" applyFill="1" applyBorder="1" applyAlignment="1" applyProtection="1">
      <alignment horizontal="center"/>
      <protection locked="0"/>
    </xf>
    <xf numFmtId="0" fontId="7" fillId="38" borderId="22" xfId="0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7" fillId="38" borderId="49" xfId="0" applyFont="1" applyFill="1" applyBorder="1" applyAlignment="1" applyProtection="1">
      <alignment horizontal="center" vertical="center"/>
      <protection locked="0"/>
    </xf>
    <xf numFmtId="0" fontId="2" fillId="36" borderId="50" xfId="0" applyFont="1" applyFill="1" applyBorder="1" applyAlignment="1">
      <alignment/>
    </xf>
    <xf numFmtId="0" fontId="0" fillId="40" borderId="0" xfId="0" applyFill="1" applyAlignment="1">
      <alignment/>
    </xf>
    <xf numFmtId="173" fontId="0" fillId="40" borderId="35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51" xfId="0" applyFont="1" applyFill="1" applyBorder="1" applyAlignment="1">
      <alignment vertical="center" wrapText="1"/>
    </xf>
    <xf numFmtId="0" fontId="0" fillId="34" borderId="52" xfId="0" applyFont="1" applyFill="1" applyBorder="1" applyAlignment="1">
      <alignment vertical="center" wrapText="1"/>
    </xf>
    <xf numFmtId="0" fontId="0" fillId="34" borderId="53" xfId="0" applyFont="1" applyFill="1" applyBorder="1" applyAlignment="1">
      <alignment vertical="center"/>
    </xf>
    <xf numFmtId="0" fontId="7" fillId="38" borderId="51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vertical="center"/>
    </xf>
    <xf numFmtId="0" fontId="14" fillId="40" borderId="32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left"/>
    </xf>
    <xf numFmtId="0" fontId="0" fillId="36" borderId="42" xfId="0" applyFill="1" applyBorder="1" applyAlignment="1">
      <alignment horizontal="left"/>
    </xf>
    <xf numFmtId="0" fontId="2" fillId="36" borderId="55" xfId="0" applyFont="1" applyFill="1" applyBorder="1" applyAlignment="1">
      <alignment horizontal="left"/>
    </xf>
    <xf numFmtId="0" fontId="2" fillId="36" borderId="56" xfId="0" applyFont="1" applyFill="1" applyBorder="1" applyAlignment="1">
      <alignment horizontal="left"/>
    </xf>
    <xf numFmtId="2" fontId="0" fillId="35" borderId="19" xfId="0" applyNumberForma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176" fontId="0" fillId="35" borderId="18" xfId="0" applyNumberForma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wrapText="1"/>
      <protection locked="0"/>
    </xf>
    <xf numFmtId="170" fontId="3" fillId="35" borderId="57" xfId="0" applyNumberFormat="1" applyFont="1" applyFill="1" applyBorder="1" applyAlignment="1" applyProtection="1">
      <alignment horizontal="center" vertical="center"/>
      <protection hidden="1"/>
    </xf>
    <xf numFmtId="170" fontId="3" fillId="35" borderId="58" xfId="0" applyNumberFormat="1" applyFont="1" applyFill="1" applyBorder="1" applyAlignment="1" applyProtection="1">
      <alignment horizontal="center" vertical="center"/>
      <protection hidden="1"/>
    </xf>
    <xf numFmtId="171" fontId="3" fillId="35" borderId="58" xfId="0" applyNumberFormat="1" applyFont="1" applyFill="1" applyBorder="1" applyAlignment="1" applyProtection="1">
      <alignment horizontal="center" vertical="center"/>
      <protection hidden="1"/>
    </xf>
    <xf numFmtId="181" fontId="3" fillId="35" borderId="58" xfId="0" applyNumberFormat="1" applyFont="1" applyFill="1" applyBorder="1" applyAlignment="1" applyProtection="1">
      <alignment horizontal="center" vertical="center"/>
      <protection hidden="1"/>
    </xf>
    <xf numFmtId="0" fontId="3" fillId="35" borderId="59" xfId="0" applyFont="1" applyFill="1" applyBorder="1" applyAlignment="1" applyProtection="1">
      <alignment horizontal="center" vertical="center"/>
      <protection hidden="1"/>
    </xf>
    <xf numFmtId="0" fontId="18" fillId="34" borderId="29" xfId="0" applyFont="1" applyFill="1" applyBorder="1" applyAlignment="1">
      <alignment horizontal="center"/>
    </xf>
    <xf numFmtId="0" fontId="18" fillId="34" borderId="3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0" fillId="36" borderId="38" xfId="0" applyFill="1" applyBorder="1" applyAlignment="1">
      <alignment horizontal="left"/>
    </xf>
    <xf numFmtId="0" fontId="0" fillId="36" borderId="42" xfId="0" applyFill="1" applyBorder="1" applyAlignment="1">
      <alignment horizontal="left"/>
    </xf>
    <xf numFmtId="0" fontId="13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wrapText="1"/>
    </xf>
    <xf numFmtId="0" fontId="0" fillId="36" borderId="18" xfId="0" applyFill="1" applyBorder="1" applyAlignment="1">
      <alignment horizontal="left"/>
    </xf>
    <xf numFmtId="0" fontId="2" fillId="36" borderId="53" xfId="0" applyFont="1" applyFill="1" applyBorder="1" applyAlignment="1">
      <alignment horizontal="center"/>
    </xf>
    <xf numFmtId="0" fontId="2" fillId="36" borderId="51" xfId="0" applyFont="1" applyFill="1" applyBorder="1" applyAlignment="1">
      <alignment horizontal="center"/>
    </xf>
    <xf numFmtId="0" fontId="2" fillId="36" borderId="52" xfId="0" applyFont="1" applyFill="1" applyBorder="1" applyAlignment="1">
      <alignment horizontal="center"/>
    </xf>
    <xf numFmtId="0" fontId="0" fillId="36" borderId="54" xfId="0" applyFill="1" applyBorder="1" applyAlignment="1">
      <alignment horizontal="left" vertical="center" wrapText="1"/>
    </xf>
    <xf numFmtId="0" fontId="0" fillId="36" borderId="42" xfId="0" applyFill="1" applyBorder="1" applyAlignment="1">
      <alignment horizontal="left" vertical="center" wrapText="1"/>
    </xf>
    <xf numFmtId="0" fontId="2" fillId="36" borderId="44" xfId="0" applyFont="1" applyFill="1" applyBorder="1" applyAlignment="1">
      <alignment horizontal="left" vertical="center" wrapText="1"/>
    </xf>
    <xf numFmtId="0" fontId="2" fillId="36" borderId="60" xfId="0" applyFont="1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0" fontId="2" fillId="36" borderId="44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3" fillId="34" borderId="0" xfId="0" applyFont="1" applyFill="1" applyAlignment="1">
      <alignment horizontal="left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44" xfId="0" applyFont="1" applyFill="1" applyBorder="1" applyAlignment="1" applyProtection="1">
      <alignment horizontal="center" vertical="center"/>
      <protection hidden="1"/>
    </xf>
    <xf numFmtId="0" fontId="2" fillId="36" borderId="40" xfId="0" applyFont="1" applyFill="1" applyBorder="1" applyAlignment="1" applyProtection="1">
      <alignment horizontal="center" vertical="center"/>
      <protection hidden="1"/>
    </xf>
    <xf numFmtId="0" fontId="2" fillId="36" borderId="41" xfId="0" applyFont="1" applyFill="1" applyBorder="1" applyAlignment="1" applyProtection="1">
      <alignment horizontal="center" vertical="center"/>
      <protection hidden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1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171" fontId="1" fillId="33" borderId="61" xfId="0" applyNumberFormat="1" applyFont="1" applyFill="1" applyBorder="1" applyAlignment="1" applyProtection="1">
      <alignment horizontal="center" vertical="center" wrapText="1"/>
      <protection hidden="1"/>
    </xf>
    <xf numFmtId="171" fontId="1" fillId="33" borderId="26" xfId="0" applyNumberFormat="1" applyFont="1" applyFill="1" applyBorder="1" applyAlignment="1" applyProtection="1">
      <alignment horizontal="center" vertical="center" wrapText="1"/>
      <protection hidden="1"/>
    </xf>
    <xf numFmtId="171" fontId="1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center"/>
      <protection hidden="1"/>
    </xf>
    <xf numFmtId="170" fontId="1" fillId="39" borderId="44" xfId="0" applyNumberFormat="1" applyFont="1" applyFill="1" applyBorder="1" applyAlignment="1" applyProtection="1">
      <alignment horizontal="center"/>
      <protection hidden="1"/>
    </xf>
    <xf numFmtId="170" fontId="1" fillId="39" borderId="40" xfId="0" applyNumberFormat="1" applyFont="1" applyFill="1" applyBorder="1" applyAlignment="1" applyProtection="1">
      <alignment horizontal="center"/>
      <protection hidden="1"/>
    </xf>
    <xf numFmtId="170" fontId="1" fillId="39" borderId="41" xfId="0" applyNumberFormat="1" applyFont="1" applyFill="1" applyBorder="1" applyAlignment="1" applyProtection="1">
      <alignment horizontal="center"/>
      <protection hidden="1"/>
    </xf>
    <xf numFmtId="175" fontId="2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7" fillId="38" borderId="20" xfId="0" applyFont="1" applyFill="1" applyBorder="1" applyAlignment="1" applyProtection="1">
      <alignment horizontal="center" vertical="center" wrapText="1"/>
      <protection locked="0"/>
    </xf>
    <xf numFmtId="0" fontId="7" fillId="38" borderId="21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>
      <alignment horizontal="left" vertical="center" wrapText="1"/>
    </xf>
    <xf numFmtId="0" fontId="0" fillId="36" borderId="54" xfId="0" applyFill="1" applyBorder="1" applyAlignment="1">
      <alignment horizontal="left"/>
    </xf>
    <xf numFmtId="175" fontId="2" fillId="36" borderId="0" xfId="0" applyNumberFormat="1" applyFont="1" applyFill="1" applyBorder="1" applyAlignment="1" applyProtection="1">
      <alignment horizontal="center" vertical="center" wrapText="1"/>
      <protection/>
    </xf>
    <xf numFmtId="171" fontId="1" fillId="37" borderId="23" xfId="0" applyNumberFormat="1" applyFont="1" applyFill="1" applyBorder="1" applyAlignment="1" applyProtection="1">
      <alignment horizontal="center" vertical="center" wrapText="1"/>
      <protection hidden="1"/>
    </xf>
    <xf numFmtId="171" fontId="1" fillId="37" borderId="61" xfId="0" applyNumberFormat="1" applyFont="1" applyFill="1" applyBorder="1" applyAlignment="1" applyProtection="1">
      <alignment horizontal="center" vertical="center" wrapText="1"/>
      <protection hidden="1"/>
    </xf>
    <xf numFmtId="171" fontId="1" fillId="37" borderId="26" xfId="0" applyNumberFormat="1" applyFont="1" applyFill="1" applyBorder="1" applyAlignment="1" applyProtection="1">
      <alignment horizontal="center" vertical="center" wrapText="1"/>
      <protection hidden="1"/>
    </xf>
    <xf numFmtId="171" fontId="1" fillId="37" borderId="6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>
      <alignment horizontal="left" vertical="center" wrapText="1"/>
    </xf>
    <xf numFmtId="0" fontId="0" fillId="36" borderId="53" xfId="0" applyFill="1" applyBorder="1" applyAlignment="1">
      <alignment horizontal="left" vertical="center"/>
    </xf>
    <xf numFmtId="0" fontId="0" fillId="36" borderId="63" xfId="0" applyFill="1" applyBorder="1" applyAlignment="1">
      <alignment horizontal="left" vertical="center"/>
    </xf>
    <xf numFmtId="0" fontId="0" fillId="36" borderId="54" xfId="0" applyFill="1" applyBorder="1" applyAlignment="1">
      <alignment horizontal="left" vertical="center"/>
    </xf>
    <xf numFmtId="0" fontId="0" fillId="36" borderId="42" xfId="0" applyFill="1" applyBorder="1" applyAlignment="1">
      <alignment horizontal="left" vertical="center"/>
    </xf>
    <xf numFmtId="0" fontId="2" fillId="36" borderId="55" xfId="0" applyFont="1" applyFill="1" applyBorder="1" applyAlignment="1">
      <alignment horizontal="left" vertical="center"/>
    </xf>
    <xf numFmtId="0" fontId="2" fillId="36" borderId="56" xfId="0" applyFont="1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top" wrapText="1"/>
    </xf>
    <xf numFmtId="0" fontId="0" fillId="34" borderId="32" xfId="0" applyFill="1" applyBorder="1" applyAlignment="1">
      <alignment horizontal="left" vertical="top" wrapText="1"/>
    </xf>
    <xf numFmtId="0" fontId="0" fillId="34" borderId="47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top" wrapText="1"/>
    </xf>
    <xf numFmtId="0" fontId="0" fillId="34" borderId="65" xfId="0" applyFont="1" applyFill="1" applyBorder="1" applyAlignment="1">
      <alignment horizontal="left" vertical="top" wrapText="1"/>
    </xf>
    <xf numFmtId="0" fontId="0" fillId="34" borderId="66" xfId="0" applyFont="1" applyFill="1" applyBorder="1" applyAlignment="1">
      <alignment horizontal="left" vertical="top" wrapText="1"/>
    </xf>
    <xf numFmtId="0" fontId="0" fillId="34" borderId="26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top" wrapText="1"/>
    </xf>
    <xf numFmtId="0" fontId="0" fillId="34" borderId="67" xfId="0" applyFont="1" applyFill="1" applyBorder="1" applyAlignment="1">
      <alignment horizontal="left" vertical="top" wrapText="1"/>
    </xf>
    <xf numFmtId="0" fontId="0" fillId="34" borderId="31" xfId="0" applyFont="1" applyFill="1" applyBorder="1" applyAlignment="1">
      <alignment horizontal="left" vertical="top" wrapText="1"/>
    </xf>
    <xf numFmtId="0" fontId="0" fillId="34" borderId="68" xfId="0" applyFont="1" applyFill="1" applyBorder="1" applyAlignment="1">
      <alignment horizontal="left" vertical="top" wrapText="1"/>
    </xf>
    <xf numFmtId="0" fontId="17" fillId="41" borderId="44" xfId="0" applyFont="1" applyFill="1" applyBorder="1" applyAlignment="1">
      <alignment horizontal="center" vertical="center" wrapText="1"/>
    </xf>
    <xf numFmtId="0" fontId="17" fillId="41" borderId="40" xfId="0" applyFont="1" applyFill="1" applyBorder="1" applyAlignment="1">
      <alignment horizontal="center" vertical="center" wrapText="1"/>
    </xf>
    <xf numFmtId="0" fontId="17" fillId="41" borderId="4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IMENTAC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10.png" /><Relationship Id="rId5" Type="http://schemas.openxmlformats.org/officeDocument/2006/relationships/image" Target="../media/image1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2</xdr:col>
      <xdr:colOff>476250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971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95250</xdr:rowOff>
    </xdr:from>
    <xdr:to>
      <xdr:col>9</xdr:col>
      <xdr:colOff>666750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1685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14</xdr:row>
      <xdr:rowOff>38100</xdr:rowOff>
    </xdr:from>
    <xdr:to>
      <xdr:col>2</xdr:col>
      <xdr:colOff>590550</xdr:colOff>
      <xdr:row>19</xdr:row>
      <xdr:rowOff>133350</xdr:rowOff>
    </xdr:to>
    <xdr:pic macro="[0]!BIAX_UP"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314575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14</xdr:row>
      <xdr:rowOff>9525</xdr:rowOff>
    </xdr:from>
    <xdr:to>
      <xdr:col>8</xdr:col>
      <xdr:colOff>552450</xdr:colOff>
      <xdr:row>19</xdr:row>
      <xdr:rowOff>133350</xdr:rowOff>
    </xdr:to>
    <xdr:pic macro="[0]!NOVAS"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2286000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14</xdr:row>
      <xdr:rowOff>38100</xdr:rowOff>
    </xdr:from>
    <xdr:to>
      <xdr:col>5</xdr:col>
      <xdr:colOff>714375</xdr:colOff>
      <xdr:row>19</xdr:row>
      <xdr:rowOff>114300</xdr:rowOff>
    </xdr:to>
    <xdr:pic macro="[0]!ACUAFLEX"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33725" y="2314575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24</xdr:row>
      <xdr:rowOff>38100</xdr:rowOff>
    </xdr:from>
    <xdr:to>
      <xdr:col>9</xdr:col>
      <xdr:colOff>666750</xdr:colOff>
      <xdr:row>24</xdr:row>
      <xdr:rowOff>190500</xdr:rowOff>
    </xdr:to>
    <xdr:pic macro="[0]!INS">
      <xdr:nvPicPr>
        <xdr:cNvPr id="6" name="Picture 13" descr="UP ARRO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86625" y="393382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1</xdr:col>
      <xdr:colOff>542925</xdr:colOff>
      <xdr:row>2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142875</xdr:rowOff>
    </xdr:from>
    <xdr:to>
      <xdr:col>7</xdr:col>
      <xdr:colOff>66675</xdr:colOff>
      <xdr:row>2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42875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</xdr:row>
      <xdr:rowOff>66675</xdr:rowOff>
    </xdr:from>
    <xdr:to>
      <xdr:col>8</xdr:col>
      <xdr:colOff>561975</xdr:colOff>
      <xdr:row>2</xdr:row>
      <xdr:rowOff>142875</xdr:rowOff>
    </xdr:to>
    <xdr:pic macro="[0]!R_NOVAS">
      <xdr:nvPicPr>
        <xdr:cNvPr id="3" name="Picture 14" descr="UP ARR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22860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142875</xdr:rowOff>
    </xdr:from>
    <xdr:to>
      <xdr:col>1</xdr:col>
      <xdr:colOff>523875</xdr:colOff>
      <xdr:row>42</xdr:row>
      <xdr:rowOff>76200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39200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40</xdr:row>
      <xdr:rowOff>142875</xdr:rowOff>
    </xdr:from>
    <xdr:to>
      <xdr:col>7</xdr:col>
      <xdr:colOff>38100</xdr:colOff>
      <xdr:row>42</xdr:row>
      <xdr:rowOff>133350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88392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53</xdr:row>
      <xdr:rowOff>514350</xdr:rowOff>
    </xdr:from>
    <xdr:to>
      <xdr:col>7</xdr:col>
      <xdr:colOff>76200</xdr:colOff>
      <xdr:row>63</xdr:row>
      <xdr:rowOff>9525</xdr:rowOff>
    </xdr:to>
    <xdr:pic>
      <xdr:nvPicPr>
        <xdr:cNvPr id="6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12163425"/>
          <a:ext cx="24193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12</xdr:row>
      <xdr:rowOff>161925</xdr:rowOff>
    </xdr:from>
    <xdr:to>
      <xdr:col>7</xdr:col>
      <xdr:colOff>66675</xdr:colOff>
      <xdr:row>23</xdr:row>
      <xdr:rowOff>142875</xdr:rowOff>
    </xdr:to>
    <xdr:pic>
      <xdr:nvPicPr>
        <xdr:cNvPr id="7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2505075"/>
          <a:ext cx="2390775" cy="1828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66675</xdr:rowOff>
    </xdr:from>
    <xdr:to>
      <xdr:col>8</xdr:col>
      <xdr:colOff>561975</xdr:colOff>
      <xdr:row>2</xdr:row>
      <xdr:rowOff>133350</xdr:rowOff>
    </xdr:to>
    <xdr:pic macro="[0]!R_NOVAS">
      <xdr:nvPicPr>
        <xdr:cNvPr id="1" name="Picture 7" descr="UP 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3812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161925</xdr:rowOff>
    </xdr:from>
    <xdr:to>
      <xdr:col>1</xdr:col>
      <xdr:colOff>371475</xdr:colOff>
      <xdr:row>2</xdr:row>
      <xdr:rowOff>95250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619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152400</xdr:rowOff>
    </xdr:from>
    <xdr:to>
      <xdr:col>7</xdr:col>
      <xdr:colOff>47625</xdr:colOff>
      <xdr:row>2</xdr:row>
      <xdr:rowOff>123825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152400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142875</xdr:rowOff>
    </xdr:from>
    <xdr:to>
      <xdr:col>1</xdr:col>
      <xdr:colOff>352425</xdr:colOff>
      <xdr:row>41</xdr:row>
      <xdr:rowOff>76200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9249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39</xdr:row>
      <xdr:rowOff>142875</xdr:rowOff>
    </xdr:from>
    <xdr:to>
      <xdr:col>6</xdr:col>
      <xdr:colOff>657225</xdr:colOff>
      <xdr:row>41</xdr:row>
      <xdr:rowOff>114300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8924925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142875</xdr:rowOff>
    </xdr:from>
    <xdr:to>
      <xdr:col>1</xdr:col>
      <xdr:colOff>352425</xdr:colOff>
      <xdr:row>41</xdr:row>
      <xdr:rowOff>95250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924925"/>
          <a:ext cx="1514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39</xdr:row>
      <xdr:rowOff>142875</xdr:rowOff>
    </xdr:from>
    <xdr:to>
      <xdr:col>6</xdr:col>
      <xdr:colOff>657225</xdr:colOff>
      <xdr:row>41</xdr:row>
      <xdr:rowOff>133350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89249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52</xdr:row>
      <xdr:rowOff>504825</xdr:rowOff>
    </xdr:from>
    <xdr:to>
      <xdr:col>7</xdr:col>
      <xdr:colOff>76200</xdr:colOff>
      <xdr:row>62</xdr:row>
      <xdr:rowOff>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12134850"/>
          <a:ext cx="24193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13</xdr:row>
      <xdr:rowOff>9525</xdr:rowOff>
    </xdr:from>
    <xdr:to>
      <xdr:col>7</xdr:col>
      <xdr:colOff>57150</xdr:colOff>
      <xdr:row>24</xdr:row>
      <xdr:rowOff>38100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2724150"/>
          <a:ext cx="2371725" cy="1866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66675</xdr:rowOff>
    </xdr:from>
    <xdr:to>
      <xdr:col>8</xdr:col>
      <xdr:colOff>561975</xdr:colOff>
      <xdr:row>2</xdr:row>
      <xdr:rowOff>142875</xdr:rowOff>
    </xdr:to>
    <xdr:pic macro="[0]!R_NOVAS">
      <xdr:nvPicPr>
        <xdr:cNvPr id="1" name="Picture 7" descr="UP 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2860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57150</xdr:rowOff>
    </xdr:from>
    <xdr:to>
      <xdr:col>1</xdr:col>
      <xdr:colOff>95250</xdr:colOff>
      <xdr:row>3</xdr:row>
      <xdr:rowOff>9525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90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</xdr:row>
      <xdr:rowOff>38100</xdr:rowOff>
    </xdr:from>
    <xdr:to>
      <xdr:col>7</xdr:col>
      <xdr:colOff>76200</xdr:colOff>
      <xdr:row>3</xdr:row>
      <xdr:rowOff>28575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200025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142875</xdr:rowOff>
    </xdr:from>
    <xdr:to>
      <xdr:col>1</xdr:col>
      <xdr:colOff>76200</xdr:colOff>
      <xdr:row>42</xdr:row>
      <xdr:rowOff>76200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705850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40</xdr:row>
      <xdr:rowOff>142875</xdr:rowOff>
    </xdr:from>
    <xdr:to>
      <xdr:col>6</xdr:col>
      <xdr:colOff>657225</xdr:colOff>
      <xdr:row>42</xdr:row>
      <xdr:rowOff>114300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8705850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142875</xdr:rowOff>
    </xdr:from>
    <xdr:to>
      <xdr:col>1</xdr:col>
      <xdr:colOff>76200</xdr:colOff>
      <xdr:row>42</xdr:row>
      <xdr:rowOff>95250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705850"/>
          <a:ext cx="1514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40</xdr:row>
      <xdr:rowOff>142875</xdr:rowOff>
    </xdr:from>
    <xdr:to>
      <xdr:col>6</xdr:col>
      <xdr:colOff>657225</xdr:colOff>
      <xdr:row>42</xdr:row>
      <xdr:rowOff>133350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870585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53</xdr:row>
      <xdr:rowOff>342900</xdr:rowOff>
    </xdr:from>
    <xdr:to>
      <xdr:col>7</xdr:col>
      <xdr:colOff>85725</xdr:colOff>
      <xdr:row>63</xdr:row>
      <xdr:rowOff>19050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11753850"/>
          <a:ext cx="24193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13</xdr:row>
      <xdr:rowOff>0</xdr:rowOff>
    </xdr:from>
    <xdr:to>
      <xdr:col>7</xdr:col>
      <xdr:colOff>104775</xdr:colOff>
      <xdr:row>24</xdr:row>
      <xdr:rowOff>28575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2457450"/>
          <a:ext cx="2457450" cy="188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66675</xdr:rowOff>
    </xdr:from>
    <xdr:to>
      <xdr:col>10</xdr:col>
      <xdr:colOff>561975</xdr:colOff>
      <xdr:row>1</xdr:row>
      <xdr:rowOff>95250</xdr:rowOff>
    </xdr:to>
    <xdr:pic macro="[0]!R_NOVAS">
      <xdr:nvPicPr>
        <xdr:cNvPr id="1" name="Picture 2" descr="UP 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6667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25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11.421875" defaultRowHeight="12.75"/>
  <sheetData>
    <row r="1" spans="1:10" ht="12.75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2.75">
      <c r="A3" s="44"/>
      <c r="B3" s="42"/>
      <c r="C3" s="42"/>
      <c r="D3" s="42"/>
      <c r="E3" s="42"/>
      <c r="F3" s="42"/>
      <c r="G3" s="42"/>
      <c r="H3" s="42"/>
      <c r="I3" s="42"/>
      <c r="J3" s="43"/>
    </row>
    <row r="4" spans="1:10" ht="13.5" thickBot="1">
      <c r="A4" s="44"/>
      <c r="B4" s="42"/>
      <c r="C4" s="42"/>
      <c r="D4" s="42"/>
      <c r="E4" s="42"/>
      <c r="F4" s="42"/>
      <c r="G4" s="42"/>
      <c r="H4" s="42"/>
      <c r="I4" s="42"/>
      <c r="J4" s="43"/>
    </row>
    <row r="5" spans="1:10" ht="12.75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 ht="12.75" customHeight="1">
      <c r="A6" s="271" t="s">
        <v>49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12.75" customHeight="1">
      <c r="A7" s="271"/>
      <c r="B7" s="272"/>
      <c r="C7" s="272"/>
      <c r="D7" s="272"/>
      <c r="E7" s="272"/>
      <c r="F7" s="272"/>
      <c r="G7" s="272"/>
      <c r="H7" s="272"/>
      <c r="I7" s="272"/>
      <c r="J7" s="273"/>
    </row>
    <row r="8" spans="1:10" ht="12.75" customHeight="1">
      <c r="A8" s="271"/>
      <c r="B8" s="272"/>
      <c r="C8" s="272"/>
      <c r="D8" s="272"/>
      <c r="E8" s="272"/>
      <c r="F8" s="272"/>
      <c r="G8" s="272"/>
      <c r="H8" s="272"/>
      <c r="I8" s="272"/>
      <c r="J8" s="273"/>
    </row>
    <row r="9" spans="1:10" ht="12.75" customHeight="1">
      <c r="A9" s="271"/>
      <c r="B9" s="272"/>
      <c r="C9" s="272"/>
      <c r="D9" s="272"/>
      <c r="E9" s="272"/>
      <c r="F9" s="272"/>
      <c r="G9" s="272"/>
      <c r="H9" s="272"/>
      <c r="I9" s="272"/>
      <c r="J9" s="273"/>
    </row>
    <row r="10" spans="1:10" ht="12.75" customHeight="1">
      <c r="A10" s="49"/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2.75" customHeight="1">
      <c r="A11" s="49"/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274" t="s">
        <v>50</v>
      </c>
      <c r="B12" s="275"/>
      <c r="C12" s="275"/>
      <c r="D12" s="275"/>
      <c r="E12" s="275"/>
      <c r="F12" s="275"/>
      <c r="G12" s="275"/>
      <c r="H12" s="275"/>
      <c r="I12" s="275"/>
      <c r="J12" s="276"/>
    </row>
    <row r="13" spans="1:10" ht="12.7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0" ht="12.75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0" ht="12.75">
      <c r="A15" s="41"/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2.75">
      <c r="A16" s="41"/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12.75">
      <c r="A17" s="41"/>
      <c r="B17" s="42"/>
      <c r="C17" s="42"/>
      <c r="D17" s="42"/>
      <c r="E17" s="42"/>
      <c r="F17" s="42"/>
      <c r="G17" s="42"/>
      <c r="H17" s="42"/>
      <c r="I17" s="42"/>
      <c r="J17" s="43"/>
    </row>
    <row r="18" spans="1:10" ht="12.75">
      <c r="A18" s="41"/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2.75">
      <c r="A19" s="41"/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12.75">
      <c r="A20" s="41"/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12.75">
      <c r="A21" s="41"/>
      <c r="B21" s="277" t="s">
        <v>51</v>
      </c>
      <c r="C21" s="277"/>
      <c r="D21" s="42"/>
      <c r="E21" s="277" t="s">
        <v>51</v>
      </c>
      <c r="F21" s="277"/>
      <c r="G21" s="42"/>
      <c r="H21" s="277" t="s">
        <v>53</v>
      </c>
      <c r="I21" s="277"/>
      <c r="J21" s="43"/>
    </row>
    <row r="22" spans="1:10" ht="12.75">
      <c r="A22" s="41"/>
      <c r="B22" s="277" t="s">
        <v>52</v>
      </c>
      <c r="C22" s="277"/>
      <c r="D22" s="42"/>
      <c r="E22" s="277" t="s">
        <v>55</v>
      </c>
      <c r="F22" s="277"/>
      <c r="G22" s="42"/>
      <c r="H22" s="277" t="s">
        <v>54</v>
      </c>
      <c r="I22" s="277"/>
      <c r="J22" s="43"/>
    </row>
    <row r="23" spans="1:10" ht="12.75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12.75">
      <c r="A24" s="41"/>
      <c r="B24" s="42"/>
      <c r="C24" s="42"/>
      <c r="D24" s="42"/>
      <c r="E24" s="42"/>
      <c r="F24" s="42"/>
      <c r="G24" s="42"/>
      <c r="H24" s="42"/>
      <c r="I24" s="149"/>
      <c r="J24" s="43"/>
    </row>
    <row r="25" spans="1:10" ht="18.75" thickBot="1">
      <c r="A25" s="48"/>
      <c r="B25" s="46"/>
      <c r="C25" s="46"/>
      <c r="D25" s="46"/>
      <c r="E25" s="46"/>
      <c r="F25" s="46"/>
      <c r="G25" s="46"/>
      <c r="H25" s="46"/>
      <c r="I25" s="269" t="s">
        <v>195</v>
      </c>
      <c r="J25" s="270"/>
    </row>
  </sheetData>
  <sheetProtection password="AE0D" sheet="1" objects="1" scenarios="1"/>
  <mergeCells count="9">
    <mergeCell ref="I25:J25"/>
    <mergeCell ref="A6:J9"/>
    <mergeCell ref="A12:J12"/>
    <mergeCell ref="H21:I21"/>
    <mergeCell ref="H22:I22"/>
    <mergeCell ref="E21:F21"/>
    <mergeCell ref="E22:F22"/>
    <mergeCell ref="B21:C21"/>
    <mergeCell ref="B22:C22"/>
  </mergeCells>
  <printOptions/>
  <pageMargins left="0.75" right="0.75" top="1" bottom="1" header="0" footer="0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Z72"/>
  <sheetViews>
    <sheetView view="pageBreakPreview" zoomScaleSheetLayoutView="100" zoomScalePageLayoutView="0" workbookViewId="0" topLeftCell="A1">
      <selection activeCell="G28" sqref="G28"/>
    </sheetView>
  </sheetViews>
  <sheetFormatPr defaultColWidth="11.421875" defaultRowHeight="12.75"/>
  <cols>
    <col min="1" max="1" width="15.28125" style="37" customWidth="1"/>
    <col min="2" max="2" width="14.8515625" style="37" customWidth="1"/>
    <col min="3" max="3" width="16.57421875" style="37" customWidth="1"/>
    <col min="4" max="4" width="13.421875" style="37" customWidth="1"/>
    <col min="5" max="5" width="12.7109375" style="37" customWidth="1"/>
    <col min="6" max="7" width="11.421875" style="37" customWidth="1"/>
    <col min="8" max="8" width="1.7109375" style="37" customWidth="1"/>
    <col min="9" max="9" width="11.421875" style="37" customWidth="1"/>
    <col min="10" max="10" width="11.421875" style="0" hidden="1" customWidth="1"/>
    <col min="11" max="11" width="12.00390625" style="0" hidden="1" customWidth="1"/>
    <col min="12" max="15" width="11.421875" style="0" hidden="1" customWidth="1"/>
    <col min="16" max="16" width="12.8515625" style="0" hidden="1" customWidth="1"/>
    <col min="17" max="18" width="11.421875" style="0" hidden="1" customWidth="1"/>
    <col min="19" max="19" width="13.7109375" style="0" hidden="1" customWidth="1"/>
    <col min="20" max="21" width="11.421875" style="0" hidden="1" customWidth="1"/>
  </cols>
  <sheetData>
    <row r="1" spans="1:22" ht="12.75">
      <c r="A1" s="38"/>
      <c r="B1" s="39"/>
      <c r="C1" s="39"/>
      <c r="D1" s="39"/>
      <c r="E1" s="39"/>
      <c r="F1" s="39"/>
      <c r="G1" s="39"/>
      <c r="H1" s="40"/>
      <c r="V1" s="37"/>
    </row>
    <row r="2" spans="1:22" ht="12.75">
      <c r="A2" s="41"/>
      <c r="B2" s="42"/>
      <c r="C2" s="277" t="s">
        <v>57</v>
      </c>
      <c r="D2" s="277"/>
      <c r="E2" s="277"/>
      <c r="F2" s="42"/>
      <c r="G2" s="42"/>
      <c r="H2" s="43"/>
      <c r="V2" s="37"/>
    </row>
    <row r="3" spans="1:22" ht="12.75">
      <c r="A3" s="44"/>
      <c r="B3" s="42"/>
      <c r="C3" s="277" t="s">
        <v>254</v>
      </c>
      <c r="D3" s="277"/>
      <c r="E3" s="277"/>
      <c r="F3" s="53"/>
      <c r="G3" s="42"/>
      <c r="H3" s="43"/>
      <c r="I3" s="42"/>
      <c r="V3" s="37"/>
    </row>
    <row r="4" spans="1:22" ht="13.5" thickBot="1">
      <c r="A4" s="45"/>
      <c r="B4" s="46"/>
      <c r="C4" s="46"/>
      <c r="D4" s="46"/>
      <c r="E4" s="46"/>
      <c r="F4" s="46"/>
      <c r="G4" s="46"/>
      <c r="H4" s="47"/>
      <c r="I4" s="52" t="s">
        <v>56</v>
      </c>
      <c r="V4" s="37"/>
    </row>
    <row r="5" spans="7:22" ht="12.75">
      <c r="G5" s="54" t="s">
        <v>58</v>
      </c>
      <c r="H5" s="54"/>
      <c r="I5" s="42"/>
      <c r="V5" s="37"/>
    </row>
    <row r="6" spans="1:22" ht="12.75">
      <c r="A6" s="56" t="s">
        <v>77</v>
      </c>
      <c r="B6" s="58"/>
      <c r="C6" s="58"/>
      <c r="D6" s="42"/>
      <c r="E6" s="42"/>
      <c r="F6" s="42"/>
      <c r="I6" s="42"/>
      <c r="V6" s="37"/>
    </row>
    <row r="7" spans="1:22" ht="13.5" thickBot="1">
      <c r="A7" s="56" t="s">
        <v>78</v>
      </c>
      <c r="B7" s="59"/>
      <c r="C7" s="59"/>
      <c r="V7" s="37"/>
    </row>
    <row r="8" spans="1:22" ht="13.5" thickBot="1">
      <c r="A8" s="56" t="s">
        <v>79</v>
      </c>
      <c r="B8" s="59"/>
      <c r="C8" s="59"/>
      <c r="D8" s="60" t="s">
        <v>80</v>
      </c>
      <c r="E8" s="58"/>
      <c r="F8" s="58"/>
      <c r="J8" s="311" t="s">
        <v>0</v>
      </c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141"/>
    </row>
    <row r="9" spans="10:22" ht="15.75" customHeight="1" thickBot="1">
      <c r="J9" s="305" t="s">
        <v>1</v>
      </c>
      <c r="K9" s="306"/>
      <c r="L9" s="1" t="s">
        <v>2</v>
      </c>
      <c r="M9" s="1" t="s">
        <v>2</v>
      </c>
      <c r="N9" s="310" t="s">
        <v>3</v>
      </c>
      <c r="O9" s="310"/>
      <c r="P9" s="2" t="s">
        <v>4</v>
      </c>
      <c r="Q9" s="2" t="s">
        <v>34</v>
      </c>
      <c r="R9" s="2" t="s">
        <v>5</v>
      </c>
      <c r="S9" s="2" t="s">
        <v>42</v>
      </c>
      <c r="T9" s="3" t="s">
        <v>6</v>
      </c>
      <c r="U9" s="4" t="s">
        <v>7</v>
      </c>
      <c r="V9" s="37"/>
    </row>
    <row r="10" spans="1:22" ht="30" customHeight="1" thickBot="1">
      <c r="A10" s="71" t="s">
        <v>47</v>
      </c>
      <c r="C10" s="65" t="s">
        <v>45</v>
      </c>
      <c r="D10" s="66" t="s">
        <v>46</v>
      </c>
      <c r="E10" s="67" t="s">
        <v>34</v>
      </c>
      <c r="J10" s="307"/>
      <c r="K10" s="308"/>
      <c r="L10" s="5" t="s">
        <v>40</v>
      </c>
      <c r="M10" s="6" t="s">
        <v>39</v>
      </c>
      <c r="N10" s="7" t="s">
        <v>38</v>
      </c>
      <c r="O10" s="7" t="s">
        <v>37</v>
      </c>
      <c r="P10" s="7" t="s">
        <v>36</v>
      </c>
      <c r="Q10" s="7" t="s">
        <v>41</v>
      </c>
      <c r="R10" s="7" t="s">
        <v>35</v>
      </c>
      <c r="S10" s="7" t="s">
        <v>36</v>
      </c>
      <c r="T10" s="8"/>
      <c r="U10" s="9"/>
      <c r="V10" s="37"/>
    </row>
    <row r="11" spans="1:22" ht="18.75" customHeight="1" thickBot="1">
      <c r="A11" s="72" t="s">
        <v>48</v>
      </c>
      <c r="C11" s="68" t="s">
        <v>44</v>
      </c>
      <c r="D11" s="69" t="s">
        <v>36</v>
      </c>
      <c r="E11" s="70" t="s">
        <v>43</v>
      </c>
      <c r="J11" s="10" t="s">
        <v>8</v>
      </c>
      <c r="K11" s="11" t="s">
        <v>9</v>
      </c>
      <c r="L11" s="12">
        <v>99</v>
      </c>
      <c r="M11" s="13">
        <v>0.11</v>
      </c>
      <c r="N11" s="14">
        <v>57</v>
      </c>
      <c r="O11" s="34">
        <v>40084.38818565401</v>
      </c>
      <c r="P11" s="14">
        <v>0.51</v>
      </c>
      <c r="Q11" s="14">
        <v>0.96</v>
      </c>
      <c r="R11" s="15">
        <v>0.009</v>
      </c>
      <c r="S11" s="16">
        <v>5.91</v>
      </c>
      <c r="T11" s="14" t="s">
        <v>10</v>
      </c>
      <c r="U11" s="17" t="s">
        <v>11</v>
      </c>
      <c r="V11" s="37"/>
    </row>
    <row r="12" spans="1:22" ht="15.75" customHeight="1" thickBot="1">
      <c r="A12" s="244"/>
      <c r="C12" s="62">
        <f>IF($A$12="","",VLOOKUP($A$12,$J$11:$U$38,3,FALSE))</f>
      </c>
      <c r="D12" s="63">
        <f>IF($A$12="","",VLOOKUP($A$12,$J$11:$U$38,4,FALSE))</f>
      </c>
      <c r="E12" s="64">
        <f>IF($A$12="","",VLOOKUP($A$12,$J$11:$U$38,8,FALSE))</f>
      </c>
      <c r="J12" s="18" t="s">
        <v>12</v>
      </c>
      <c r="K12" s="19" t="s">
        <v>9</v>
      </c>
      <c r="L12" s="20">
        <v>145</v>
      </c>
      <c r="M12" s="21">
        <v>0.16</v>
      </c>
      <c r="N12" s="22">
        <v>57</v>
      </c>
      <c r="O12" s="35">
        <v>40084.38818565401</v>
      </c>
      <c r="P12" s="22">
        <v>0.56</v>
      </c>
      <c r="Q12" s="22">
        <v>1.84</v>
      </c>
      <c r="R12" s="23">
        <v>0.009</v>
      </c>
      <c r="S12" s="24">
        <v>5.899</v>
      </c>
      <c r="T12" s="22" t="s">
        <v>10</v>
      </c>
      <c r="U12" s="25" t="s">
        <v>11</v>
      </c>
      <c r="V12" s="37"/>
    </row>
    <row r="13" spans="10:22" ht="13.5" thickBot="1">
      <c r="J13" s="18" t="s">
        <v>13</v>
      </c>
      <c r="K13" s="19" t="s">
        <v>9</v>
      </c>
      <c r="L13" s="20">
        <v>182</v>
      </c>
      <c r="M13" s="21">
        <v>0.2</v>
      </c>
      <c r="N13" s="22">
        <v>57</v>
      </c>
      <c r="O13" s="35">
        <v>40084.38818565401</v>
      </c>
      <c r="P13" s="22">
        <v>0.6</v>
      </c>
      <c r="Q13" s="22">
        <v>2.66</v>
      </c>
      <c r="R13" s="23">
        <v>0.009</v>
      </c>
      <c r="S13" s="24">
        <v>5.879</v>
      </c>
      <c r="T13" s="22" t="s">
        <v>10</v>
      </c>
      <c r="U13" s="25" t="s">
        <v>11</v>
      </c>
      <c r="V13" s="37"/>
    </row>
    <row r="14" spans="1:22" ht="13.5" thickBot="1">
      <c r="A14" s="292" t="s">
        <v>60</v>
      </c>
      <c r="B14" s="293"/>
      <c r="C14" s="293"/>
      <c r="D14" s="294"/>
      <c r="J14" s="18" t="s">
        <v>14</v>
      </c>
      <c r="K14" s="19" t="s">
        <v>9</v>
      </c>
      <c r="L14" s="20">
        <v>227</v>
      </c>
      <c r="M14" s="21">
        <v>0.25</v>
      </c>
      <c r="N14" s="22">
        <v>57</v>
      </c>
      <c r="O14" s="35">
        <v>40084.38818565401</v>
      </c>
      <c r="P14" s="22">
        <v>0.65</v>
      </c>
      <c r="Q14" s="22">
        <v>3.87</v>
      </c>
      <c r="R14" s="23">
        <v>0.009</v>
      </c>
      <c r="S14" s="24">
        <v>5.849</v>
      </c>
      <c r="T14" s="22" t="s">
        <v>10</v>
      </c>
      <c r="U14" s="25" t="s">
        <v>11</v>
      </c>
      <c r="V14" s="37"/>
    </row>
    <row r="15" spans="1:22" ht="12.75">
      <c r="A15" s="284" t="s">
        <v>61</v>
      </c>
      <c r="B15" s="285"/>
      <c r="C15" s="284" t="s">
        <v>64</v>
      </c>
      <c r="D15" s="286"/>
      <c r="J15" s="18" t="s">
        <v>15</v>
      </c>
      <c r="K15" s="19" t="s">
        <v>9</v>
      </c>
      <c r="L15" s="20">
        <v>284</v>
      </c>
      <c r="M15" s="21">
        <v>0.315</v>
      </c>
      <c r="N15" s="22">
        <v>57</v>
      </c>
      <c r="O15" s="35">
        <v>40084.38818565401</v>
      </c>
      <c r="P15" s="22">
        <v>0.715</v>
      </c>
      <c r="Q15" s="22">
        <v>5.69</v>
      </c>
      <c r="R15" s="23">
        <v>0.009</v>
      </c>
      <c r="S15" s="24">
        <v>5.799</v>
      </c>
      <c r="T15" s="22" t="s">
        <v>10</v>
      </c>
      <c r="U15" s="25" t="s">
        <v>11</v>
      </c>
      <c r="V15" s="37"/>
    </row>
    <row r="16" spans="1:22" ht="12.75">
      <c r="A16" s="73" t="s">
        <v>62</v>
      </c>
      <c r="B16" s="74" t="s">
        <v>63</v>
      </c>
      <c r="C16" s="73" t="s">
        <v>62</v>
      </c>
      <c r="D16" s="75" t="s">
        <v>63</v>
      </c>
      <c r="J16" s="18" t="s">
        <v>16</v>
      </c>
      <c r="K16" s="19" t="s">
        <v>9</v>
      </c>
      <c r="L16" s="20">
        <v>327</v>
      </c>
      <c r="M16" s="21">
        <v>0.355</v>
      </c>
      <c r="N16" s="22">
        <v>57</v>
      </c>
      <c r="O16" s="35">
        <v>40084.38818565401</v>
      </c>
      <c r="P16" s="22">
        <v>0.755</v>
      </c>
      <c r="Q16" s="22">
        <v>6.91</v>
      </c>
      <c r="R16" s="23">
        <v>0.009</v>
      </c>
      <c r="S16" s="24">
        <v>5.813</v>
      </c>
      <c r="T16" s="22" t="s">
        <v>10</v>
      </c>
      <c r="U16" s="25" t="s">
        <v>11</v>
      </c>
      <c r="V16" s="37"/>
    </row>
    <row r="17" spans="1:22" ht="13.5" thickBot="1">
      <c r="A17" s="240"/>
      <c r="B17" s="241"/>
      <c r="C17" s="240"/>
      <c r="D17" s="242"/>
      <c r="J17" s="18" t="s">
        <v>17</v>
      </c>
      <c r="K17" s="19" t="s">
        <v>9</v>
      </c>
      <c r="L17" s="20">
        <v>362</v>
      </c>
      <c r="M17" s="21">
        <v>0.4</v>
      </c>
      <c r="N17" s="22">
        <v>57</v>
      </c>
      <c r="O17" s="35">
        <v>40084.38818565401</v>
      </c>
      <c r="P17" s="22">
        <v>0.8</v>
      </c>
      <c r="Q17" s="22">
        <v>8.82</v>
      </c>
      <c r="R17" s="23">
        <v>0.009</v>
      </c>
      <c r="S17" s="24">
        <v>5.758</v>
      </c>
      <c r="T17" s="22" t="s">
        <v>10</v>
      </c>
      <c r="U17" s="25" t="s">
        <v>11</v>
      </c>
      <c r="V17" s="37"/>
    </row>
    <row r="18" spans="1:22" ht="13.5" thickBot="1">
      <c r="A18" s="55"/>
      <c r="B18" s="55"/>
      <c r="C18" s="55"/>
      <c r="D18" s="55"/>
      <c r="J18" s="18" t="s">
        <v>18</v>
      </c>
      <c r="K18" s="19" t="s">
        <v>9</v>
      </c>
      <c r="L18" s="20">
        <v>407</v>
      </c>
      <c r="M18" s="21">
        <v>0.45</v>
      </c>
      <c r="N18" s="22">
        <v>57</v>
      </c>
      <c r="O18" s="35">
        <v>40084.38818565401</v>
      </c>
      <c r="P18" s="22">
        <v>0.85</v>
      </c>
      <c r="Q18" s="22">
        <v>11.82</v>
      </c>
      <c r="R18" s="23">
        <v>0.009</v>
      </c>
      <c r="S18" s="24">
        <v>5.728</v>
      </c>
      <c r="T18" s="22" t="s">
        <v>10</v>
      </c>
      <c r="U18" s="25" t="s">
        <v>11</v>
      </c>
      <c r="V18" s="37"/>
    </row>
    <row r="19" spans="1:22" ht="13.5" thickBot="1">
      <c r="A19" s="76" t="s">
        <v>167</v>
      </c>
      <c r="B19" s="239"/>
      <c r="C19" s="55"/>
      <c r="D19" s="55"/>
      <c r="J19" s="26" t="s">
        <v>19</v>
      </c>
      <c r="K19" s="27" t="s">
        <v>9</v>
      </c>
      <c r="L19" s="28">
        <v>452</v>
      </c>
      <c r="M19" s="29">
        <v>0.5</v>
      </c>
      <c r="N19" s="30">
        <v>57</v>
      </c>
      <c r="O19" s="36">
        <v>40084.38818565401</v>
      </c>
      <c r="P19" s="30">
        <v>0.9</v>
      </c>
      <c r="Q19" s="30">
        <v>14.27</v>
      </c>
      <c r="R19" s="31">
        <v>0.009</v>
      </c>
      <c r="S19" s="32">
        <v>5.698</v>
      </c>
      <c r="T19" s="30" t="s">
        <v>10</v>
      </c>
      <c r="U19" s="33" t="s">
        <v>11</v>
      </c>
      <c r="V19" s="37"/>
    </row>
    <row r="20" spans="1:22" ht="12.75">
      <c r="A20" s="77" t="s">
        <v>65</v>
      </c>
      <c r="B20" s="88">
        <f>IF(A12="","",IF(C17="","",(MIN(C17:D17)-MIN(A17:B17))+D12))</f>
      </c>
      <c r="J20" s="10" t="s">
        <v>20</v>
      </c>
      <c r="K20" s="11" t="s">
        <v>9</v>
      </c>
      <c r="L20" s="12">
        <v>185</v>
      </c>
      <c r="M20" s="13">
        <v>0.2</v>
      </c>
      <c r="N20" s="14">
        <v>28</v>
      </c>
      <c r="O20" s="34">
        <v>19690.57665260197</v>
      </c>
      <c r="P20" s="14">
        <v>0.6</v>
      </c>
      <c r="Q20" s="14">
        <v>2.39</v>
      </c>
      <c r="R20" s="15">
        <v>0.009</v>
      </c>
      <c r="S20" s="16">
        <v>5.883</v>
      </c>
      <c r="T20" s="14" t="s">
        <v>10</v>
      </c>
      <c r="U20" s="17" t="s">
        <v>11</v>
      </c>
      <c r="V20" s="37"/>
    </row>
    <row r="21" spans="1:22" ht="12.75">
      <c r="A21" s="77" t="s">
        <v>66</v>
      </c>
      <c r="B21" s="260">
        <f>IF(B20="","",IF(B20-B19&gt;B20,"Terreno inundado",B20-D12-B22))</f>
      </c>
      <c r="J21" s="18" t="s">
        <v>21</v>
      </c>
      <c r="K21" s="19" t="s">
        <v>9</v>
      </c>
      <c r="L21" s="20">
        <v>231</v>
      </c>
      <c r="M21" s="21">
        <v>0.25</v>
      </c>
      <c r="N21" s="22">
        <v>28</v>
      </c>
      <c r="O21" s="35">
        <v>19690.57665260197</v>
      </c>
      <c r="P21" s="22">
        <v>0.65</v>
      </c>
      <c r="Q21" s="22">
        <v>3.53</v>
      </c>
      <c r="R21" s="23">
        <v>0.009</v>
      </c>
      <c r="S21" s="24">
        <v>5.866</v>
      </c>
      <c r="T21" s="22" t="s">
        <v>10</v>
      </c>
      <c r="U21" s="25" t="s">
        <v>11</v>
      </c>
      <c r="V21" s="37"/>
    </row>
    <row r="22" spans="1:26" ht="13.5" thickBot="1">
      <c r="A22" s="78" t="s">
        <v>67</v>
      </c>
      <c r="B22" s="261">
        <f>IF(B20="","",IF(B20-B19&lt;D12,0,B20-B19-D12))</f>
      </c>
      <c r="J22" s="18" t="s">
        <v>22</v>
      </c>
      <c r="K22" s="19" t="s">
        <v>9</v>
      </c>
      <c r="L22" s="20">
        <v>291</v>
      </c>
      <c r="M22" s="21">
        <v>0.315</v>
      </c>
      <c r="N22" s="22">
        <v>28</v>
      </c>
      <c r="O22" s="35">
        <v>19690.57665260197</v>
      </c>
      <c r="P22" s="22">
        <v>0.715</v>
      </c>
      <c r="Q22" s="22">
        <v>5.19</v>
      </c>
      <c r="R22" s="23">
        <v>0.009</v>
      </c>
      <c r="S22" s="24">
        <v>5.813</v>
      </c>
      <c r="T22" s="22" t="s">
        <v>10</v>
      </c>
      <c r="U22" s="25" t="s">
        <v>11</v>
      </c>
      <c r="V22" s="37"/>
      <c r="Z22" s="243"/>
    </row>
    <row r="23" spans="10:22" ht="13.5" thickBot="1">
      <c r="J23" s="18" t="s">
        <v>23</v>
      </c>
      <c r="K23" s="19" t="s">
        <v>9</v>
      </c>
      <c r="L23" s="20">
        <v>328</v>
      </c>
      <c r="M23" s="21">
        <v>0.355</v>
      </c>
      <c r="N23" s="22">
        <v>28</v>
      </c>
      <c r="O23" s="35">
        <v>19690.57665260197</v>
      </c>
      <c r="P23" s="22">
        <v>0.755</v>
      </c>
      <c r="Q23" s="22">
        <v>5.59</v>
      </c>
      <c r="R23" s="23">
        <v>0.009</v>
      </c>
      <c r="S23" s="24">
        <v>5.813</v>
      </c>
      <c r="T23" s="22" t="s">
        <v>10</v>
      </c>
      <c r="U23" s="25" t="s">
        <v>11</v>
      </c>
      <c r="V23" s="37"/>
    </row>
    <row r="24" spans="1:22" ht="13.5" thickBot="1">
      <c r="A24" s="292" t="s">
        <v>68</v>
      </c>
      <c r="B24" s="293"/>
      <c r="C24" s="293"/>
      <c r="D24" s="294"/>
      <c r="J24" s="18" t="s">
        <v>24</v>
      </c>
      <c r="K24" s="19" t="s">
        <v>9</v>
      </c>
      <c r="L24" s="20">
        <v>370</v>
      </c>
      <c r="M24" s="21">
        <v>0.4</v>
      </c>
      <c r="N24" s="22">
        <v>28</v>
      </c>
      <c r="O24" s="35">
        <v>19690.57665260197</v>
      </c>
      <c r="P24" s="22">
        <v>0.8</v>
      </c>
      <c r="Q24" s="22">
        <v>7.62</v>
      </c>
      <c r="R24" s="23">
        <v>0.009</v>
      </c>
      <c r="S24" s="24">
        <v>5.766</v>
      </c>
      <c r="T24" s="22" t="s">
        <v>10</v>
      </c>
      <c r="U24" s="25" t="s">
        <v>11</v>
      </c>
      <c r="V24" s="37"/>
    </row>
    <row r="25" spans="1:22" ht="56.25" customHeight="1">
      <c r="A25" s="303" t="s">
        <v>70</v>
      </c>
      <c r="B25" s="304"/>
      <c r="C25" s="79" t="s">
        <v>188</v>
      </c>
      <c r="D25" s="79" t="s">
        <v>206</v>
      </c>
      <c r="J25" s="18" t="s">
        <v>25</v>
      </c>
      <c r="K25" s="19" t="s">
        <v>26</v>
      </c>
      <c r="L25" s="20">
        <v>595</v>
      </c>
      <c r="M25" s="21">
        <v>0.66</v>
      </c>
      <c r="N25" s="22">
        <v>28</v>
      </c>
      <c r="O25" s="35">
        <v>19690.57665260197</v>
      </c>
      <c r="P25" s="22">
        <v>1.06</v>
      </c>
      <c r="Q25" s="22">
        <v>16.74</v>
      </c>
      <c r="R25" s="23">
        <v>0.009</v>
      </c>
      <c r="S25" s="24">
        <v>5.65</v>
      </c>
      <c r="T25" s="22" t="s">
        <v>27</v>
      </c>
      <c r="U25" s="25" t="s">
        <v>11</v>
      </c>
      <c r="V25" s="37"/>
    </row>
    <row r="26" spans="1:22" ht="38.25" customHeight="1" thickBot="1">
      <c r="A26" s="316"/>
      <c r="B26" s="317"/>
      <c r="C26" s="93">
        <f>IF($A$26="","",VLOOKUP($A$26,$J$44:$O$51,6,FALSE))</f>
      </c>
      <c r="D26" s="191">
        <f>IF($A$26="","",1.1*VLOOKUP($A$26,$J$44:$O$51,6,FALSE))</f>
      </c>
      <c r="E26" s="295" t="s">
        <v>76</v>
      </c>
      <c r="F26" s="295"/>
      <c r="G26" s="295"/>
      <c r="H26" s="155"/>
      <c r="J26" s="18" t="s">
        <v>28</v>
      </c>
      <c r="K26" s="19" t="s">
        <v>26</v>
      </c>
      <c r="L26" s="20">
        <v>670</v>
      </c>
      <c r="M26" s="21">
        <v>0.73</v>
      </c>
      <c r="N26" s="22">
        <v>28</v>
      </c>
      <c r="O26" s="35">
        <v>19690.57665260197</v>
      </c>
      <c r="P26" s="22">
        <v>1.13</v>
      </c>
      <c r="Q26" s="22">
        <v>19.98</v>
      </c>
      <c r="R26" s="23">
        <v>0.009</v>
      </c>
      <c r="S26" s="24">
        <v>5.606</v>
      </c>
      <c r="T26" s="22" t="s">
        <v>27</v>
      </c>
      <c r="U26" s="25" t="s">
        <v>11</v>
      </c>
      <c r="V26" s="37"/>
    </row>
    <row r="27" spans="5:22" ht="12.75">
      <c r="E27" s="295"/>
      <c r="F27" s="295"/>
      <c r="G27" s="295"/>
      <c r="H27" s="155"/>
      <c r="J27" s="18" t="s">
        <v>29</v>
      </c>
      <c r="K27" s="19" t="s">
        <v>26</v>
      </c>
      <c r="L27" s="20">
        <v>747</v>
      </c>
      <c r="M27" s="21">
        <v>0.813</v>
      </c>
      <c r="N27" s="22">
        <v>28</v>
      </c>
      <c r="O27" s="35">
        <v>19690.57665260197</v>
      </c>
      <c r="P27" s="22">
        <v>1.213</v>
      </c>
      <c r="Q27" s="22">
        <v>24.95</v>
      </c>
      <c r="R27" s="23">
        <v>0.009</v>
      </c>
      <c r="S27" s="24">
        <v>5.55</v>
      </c>
      <c r="T27" s="22" t="s">
        <v>27</v>
      </c>
      <c r="U27" s="25" t="s">
        <v>11</v>
      </c>
      <c r="V27" s="37"/>
    </row>
    <row r="28" spans="1:22" ht="12.75">
      <c r="A28" s="321" t="s">
        <v>73</v>
      </c>
      <c r="B28" s="321"/>
      <c r="C28" s="321"/>
      <c r="D28" s="321"/>
      <c r="J28" s="18" t="s">
        <v>30</v>
      </c>
      <c r="K28" s="19" t="s">
        <v>26</v>
      </c>
      <c r="L28" s="20">
        <v>824</v>
      </c>
      <c r="M28" s="21">
        <v>0.898</v>
      </c>
      <c r="N28" s="22">
        <v>28</v>
      </c>
      <c r="O28" s="35">
        <v>19690.57665260197</v>
      </c>
      <c r="P28" s="22">
        <v>1.298</v>
      </c>
      <c r="Q28" s="22">
        <v>33.25</v>
      </c>
      <c r="R28" s="23">
        <v>0.009</v>
      </c>
      <c r="S28" s="24">
        <v>5.475</v>
      </c>
      <c r="T28" s="22" t="s">
        <v>27</v>
      </c>
      <c r="U28" s="25" t="s">
        <v>11</v>
      </c>
      <c r="V28" s="37"/>
    </row>
    <row r="29" spans="1:22" ht="26.25" customHeight="1" thickBot="1">
      <c r="A29" s="291" t="s">
        <v>71</v>
      </c>
      <c r="B29" s="291"/>
      <c r="C29" s="262">
        <f>IF(OR(A26="",B19=""),"",IF(B19&lt;B20,PI()*(D12^2)/4*1000,"No hay N.F., tubería no flotará"))</f>
      </c>
      <c r="D29" s="91" t="s">
        <v>74</v>
      </c>
      <c r="J29" s="26" t="s">
        <v>31</v>
      </c>
      <c r="K29" s="27" t="s">
        <v>26</v>
      </c>
      <c r="L29" s="28">
        <v>900</v>
      </c>
      <c r="M29" s="29">
        <v>0.98</v>
      </c>
      <c r="N29" s="30">
        <v>28</v>
      </c>
      <c r="O29" s="36">
        <v>19690.57665260197</v>
      </c>
      <c r="P29" s="30">
        <v>1.38</v>
      </c>
      <c r="Q29" s="30">
        <v>36.72</v>
      </c>
      <c r="R29" s="31">
        <v>0.009</v>
      </c>
      <c r="S29" s="32">
        <v>5.475</v>
      </c>
      <c r="T29" s="30" t="s">
        <v>27</v>
      </c>
      <c r="U29" s="33" t="s">
        <v>11</v>
      </c>
      <c r="V29" s="37"/>
    </row>
    <row r="30" spans="1:22" ht="33.75" customHeight="1">
      <c r="A30" s="291" t="s">
        <v>72</v>
      </c>
      <c r="B30" s="291"/>
      <c r="C30" s="90">
        <f>IF(OR(A26="",B21=""),"",IF(B21="Terreno inundado","",((D12)*((B21*C26)+(B22*D26)))+E12))</f>
      </c>
      <c r="D30" s="92" t="s">
        <v>74</v>
      </c>
      <c r="J30" s="10">
        <v>33</v>
      </c>
      <c r="K30" s="11" t="s">
        <v>26</v>
      </c>
      <c r="L30" s="12">
        <v>823.09</v>
      </c>
      <c r="M30" s="13">
        <v>0.86</v>
      </c>
      <c r="N30" s="14">
        <v>10</v>
      </c>
      <c r="O30" s="34">
        <v>7032.3488045007025</v>
      </c>
      <c r="P30" s="14">
        <v>1.26</v>
      </c>
      <c r="Q30" s="14">
        <v>28.35</v>
      </c>
      <c r="R30" s="15">
        <v>0.01</v>
      </c>
      <c r="S30" s="16">
        <v>6.5</v>
      </c>
      <c r="T30" s="14" t="s">
        <v>32</v>
      </c>
      <c r="U30" s="17" t="s">
        <v>33</v>
      </c>
      <c r="V30" s="37"/>
    </row>
    <row r="31" spans="1:22" ht="27" customHeight="1">
      <c r="A31" s="291" t="s">
        <v>75</v>
      </c>
      <c r="B31" s="291"/>
      <c r="C31" s="235">
        <f>IF(OR(A26="",C30=""),"",IF(C29="No hay N.F., tubería no flotará","",IF(B21="Terreno inundado","",C30/C29)))</f>
      </c>
      <c r="D31" s="296">
        <f>IF(A26="","",IF(C31="","",IF(C31&lt;1.1,"FSF incorrecto: Colocar atraques y/ó aumentar el relleno","FSF correcto")))</f>
      </c>
      <c r="E31" s="296"/>
      <c r="F31" s="296"/>
      <c r="J31" s="18">
        <v>36</v>
      </c>
      <c r="K31" s="19" t="s">
        <v>26</v>
      </c>
      <c r="L31" s="20">
        <v>899.03</v>
      </c>
      <c r="M31" s="21">
        <v>0.95</v>
      </c>
      <c r="N31" s="22">
        <v>10</v>
      </c>
      <c r="O31" s="35">
        <v>7032.3488045007025</v>
      </c>
      <c r="P31" s="22">
        <v>1.35</v>
      </c>
      <c r="Q31" s="22">
        <v>39.6</v>
      </c>
      <c r="R31" s="23">
        <v>0.01</v>
      </c>
      <c r="S31" s="24">
        <v>6.5</v>
      </c>
      <c r="T31" s="22" t="s">
        <v>32</v>
      </c>
      <c r="U31" s="25" t="s">
        <v>33</v>
      </c>
      <c r="V31" s="37"/>
    </row>
    <row r="32" spans="10:22" ht="13.5" thickBot="1">
      <c r="J32" s="18">
        <v>39</v>
      </c>
      <c r="K32" s="19" t="s">
        <v>26</v>
      </c>
      <c r="L32" s="20">
        <v>974.98</v>
      </c>
      <c r="M32" s="21">
        <v>1.025</v>
      </c>
      <c r="N32" s="22">
        <v>10</v>
      </c>
      <c r="O32" s="35">
        <v>7032.3488045007025</v>
      </c>
      <c r="P32" s="22">
        <v>1.425</v>
      </c>
      <c r="Q32" s="22">
        <v>54.77</v>
      </c>
      <c r="R32" s="23">
        <v>0.01</v>
      </c>
      <c r="S32" s="24">
        <v>6.5</v>
      </c>
      <c r="T32" s="22" t="s">
        <v>32</v>
      </c>
      <c r="U32" s="25" t="s">
        <v>33</v>
      </c>
      <c r="V32" s="37"/>
    </row>
    <row r="33" spans="1:22" ht="13.5" thickBot="1">
      <c r="A33" s="318" t="s">
        <v>90</v>
      </c>
      <c r="B33" s="319"/>
      <c r="C33" s="319"/>
      <c r="D33" s="320"/>
      <c r="J33" s="18">
        <v>42</v>
      </c>
      <c r="K33" s="19" t="s">
        <v>26</v>
      </c>
      <c r="L33" s="20">
        <v>1050.93</v>
      </c>
      <c r="M33" s="21">
        <v>1.101</v>
      </c>
      <c r="N33" s="22">
        <v>10</v>
      </c>
      <c r="O33" s="35">
        <v>7032.3488045007025</v>
      </c>
      <c r="P33" s="22">
        <v>1.501</v>
      </c>
      <c r="Q33" s="22">
        <v>58.83</v>
      </c>
      <c r="R33" s="23">
        <v>0.01</v>
      </c>
      <c r="S33" s="24">
        <v>6.5</v>
      </c>
      <c r="T33" s="22" t="s">
        <v>32</v>
      </c>
      <c r="U33" s="25" t="s">
        <v>33</v>
      </c>
      <c r="V33" s="37"/>
    </row>
    <row r="34" spans="1:22" ht="29.25" customHeight="1" thickBot="1">
      <c r="A34" s="289" t="s">
        <v>181</v>
      </c>
      <c r="B34" s="290"/>
      <c r="C34" s="148" t="s">
        <v>36</v>
      </c>
      <c r="D34" s="247">
        <f>IF(A26="","",IF(OR(C29="No hay N.F., tubería no flotará",C29=""),"",((C29*1.1)/(D26*D12))))</f>
      </c>
      <c r="E34" s="156"/>
      <c r="F34" s="156"/>
      <c r="J34" s="18">
        <v>45</v>
      </c>
      <c r="K34" s="19" t="s">
        <v>26</v>
      </c>
      <c r="L34" s="20">
        <v>1127</v>
      </c>
      <c r="M34" s="21">
        <v>1.18</v>
      </c>
      <c r="N34" s="22">
        <v>10</v>
      </c>
      <c r="O34" s="35">
        <v>7032.3488045007025</v>
      </c>
      <c r="P34" s="22">
        <v>1.78</v>
      </c>
      <c r="Q34" s="22">
        <v>62.89</v>
      </c>
      <c r="R34" s="23">
        <v>0.01</v>
      </c>
      <c r="S34" s="24">
        <v>6</v>
      </c>
      <c r="T34" s="22" t="s">
        <v>32</v>
      </c>
      <c r="U34" s="25" t="s">
        <v>33</v>
      </c>
      <c r="V34" s="37"/>
    </row>
    <row r="35" spans="5:22" ht="12.75">
      <c r="E35" s="156"/>
      <c r="F35" s="156"/>
      <c r="J35" s="18">
        <v>48</v>
      </c>
      <c r="K35" s="19" t="s">
        <v>26</v>
      </c>
      <c r="L35" s="20">
        <v>1202.94</v>
      </c>
      <c r="M35" s="21">
        <v>1.271</v>
      </c>
      <c r="N35" s="22">
        <v>10</v>
      </c>
      <c r="O35" s="35">
        <v>7032.3488045007025</v>
      </c>
      <c r="P35" s="22">
        <v>1.871</v>
      </c>
      <c r="Q35" s="22">
        <v>85.28</v>
      </c>
      <c r="R35" s="23">
        <v>0.01</v>
      </c>
      <c r="S35" s="24">
        <v>6</v>
      </c>
      <c r="T35" s="22" t="s">
        <v>32</v>
      </c>
      <c r="U35" s="25" t="s">
        <v>33</v>
      </c>
      <c r="V35" s="37"/>
    </row>
    <row r="36" spans="1:22" ht="12.75" customHeight="1">
      <c r="A36" s="309" t="s">
        <v>168</v>
      </c>
      <c r="B36" s="309"/>
      <c r="C36" s="309"/>
      <c r="D36" s="309"/>
      <c r="E36" s="309"/>
      <c r="F36" s="309"/>
      <c r="G36" s="309"/>
      <c r="J36" s="18">
        <v>51</v>
      </c>
      <c r="K36" s="19" t="s">
        <v>26</v>
      </c>
      <c r="L36" s="20">
        <v>1295</v>
      </c>
      <c r="M36" s="21">
        <v>1.363</v>
      </c>
      <c r="N36" s="22">
        <v>10</v>
      </c>
      <c r="O36" s="35">
        <v>7032.3488045007025</v>
      </c>
      <c r="P36" s="22">
        <v>1.963</v>
      </c>
      <c r="Q36" s="22">
        <v>91.48</v>
      </c>
      <c r="R36" s="23">
        <v>0.01</v>
      </c>
      <c r="S36" s="24">
        <v>6</v>
      </c>
      <c r="T36" s="22" t="s">
        <v>32</v>
      </c>
      <c r="U36" s="25" t="s">
        <v>33</v>
      </c>
      <c r="V36" s="37"/>
    </row>
    <row r="37" spans="1:22" ht="12.75">
      <c r="A37" s="309"/>
      <c r="B37" s="309"/>
      <c r="C37" s="309"/>
      <c r="D37" s="309"/>
      <c r="E37" s="309"/>
      <c r="F37" s="309"/>
      <c r="G37" s="309"/>
      <c r="J37" s="18">
        <v>54</v>
      </c>
      <c r="K37" s="19" t="s">
        <v>26</v>
      </c>
      <c r="L37" s="20">
        <v>1355.09</v>
      </c>
      <c r="M37" s="21">
        <v>1.423</v>
      </c>
      <c r="N37" s="22">
        <v>10</v>
      </c>
      <c r="O37" s="35">
        <v>7032.3488045007025</v>
      </c>
      <c r="P37" s="22">
        <v>2.023</v>
      </c>
      <c r="Q37" s="22">
        <v>95.52</v>
      </c>
      <c r="R37" s="23">
        <v>0.01</v>
      </c>
      <c r="S37" s="24">
        <v>6</v>
      </c>
      <c r="T37" s="22" t="s">
        <v>32</v>
      </c>
      <c r="U37" s="25" t="s">
        <v>33</v>
      </c>
      <c r="V37" s="37"/>
    </row>
    <row r="38" spans="1:22" ht="13.5" thickBot="1">
      <c r="A38" s="57"/>
      <c r="J38" s="26">
        <v>60</v>
      </c>
      <c r="K38" s="27" t="s">
        <v>26</v>
      </c>
      <c r="L38" s="28">
        <v>1507.24</v>
      </c>
      <c r="M38" s="29">
        <v>1.586</v>
      </c>
      <c r="N38" s="30">
        <v>10</v>
      </c>
      <c r="O38" s="36">
        <v>7032.3488045007025</v>
      </c>
      <c r="P38" s="30">
        <v>2.186</v>
      </c>
      <c r="Q38" s="30">
        <v>113.32</v>
      </c>
      <c r="R38" s="31">
        <v>0.01</v>
      </c>
      <c r="S38" s="32">
        <v>6</v>
      </c>
      <c r="T38" s="30" t="s">
        <v>32</v>
      </c>
      <c r="U38" s="33" t="s">
        <v>33</v>
      </c>
      <c r="V38" s="37"/>
    </row>
    <row r="39" spans="1:22" ht="12.75">
      <c r="A39" s="57"/>
      <c r="V39" s="37"/>
    </row>
    <row r="40" spans="10:22" ht="13.5" thickBot="1"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37"/>
    </row>
    <row r="41" spans="1:22" ht="13.5" customHeight="1" thickBot="1">
      <c r="A41" s="38"/>
      <c r="B41" s="39"/>
      <c r="C41" s="39"/>
      <c r="D41" s="39"/>
      <c r="E41" s="39"/>
      <c r="F41" s="39"/>
      <c r="G41" s="39"/>
      <c r="H41" s="40"/>
      <c r="J41" s="203"/>
      <c r="K41" s="203"/>
      <c r="L41" s="203"/>
      <c r="M41" s="203"/>
      <c r="N41" s="315"/>
      <c r="O41" s="315"/>
      <c r="P41" s="315"/>
      <c r="Q41" s="314"/>
      <c r="R41" s="314"/>
      <c r="S41" s="314"/>
      <c r="T41" s="202"/>
      <c r="U41" s="202"/>
      <c r="V41" s="37"/>
    </row>
    <row r="42" spans="1:22" ht="13.5" thickBot="1">
      <c r="A42" s="41"/>
      <c r="B42" s="42"/>
      <c r="C42" s="277" t="s">
        <v>57</v>
      </c>
      <c r="D42" s="277"/>
      <c r="E42" s="277"/>
      <c r="F42" s="42"/>
      <c r="G42" s="42"/>
      <c r="H42" s="43"/>
      <c r="J42" s="300" t="s">
        <v>69</v>
      </c>
      <c r="K42" s="301"/>
      <c r="L42" s="301"/>
      <c r="M42" s="301"/>
      <c r="N42" s="301"/>
      <c r="O42" s="302"/>
      <c r="P42" s="204"/>
      <c r="Q42" s="205"/>
      <c r="R42" s="206"/>
      <c r="S42" s="204"/>
      <c r="T42" s="202"/>
      <c r="U42" s="202"/>
      <c r="V42" s="37"/>
    </row>
    <row r="43" spans="1:22" ht="13.5" thickBot="1">
      <c r="A43" s="44"/>
      <c r="B43" s="42"/>
      <c r="C43" s="277" t="s">
        <v>59</v>
      </c>
      <c r="D43" s="277"/>
      <c r="E43" s="277"/>
      <c r="F43" s="53"/>
      <c r="G43" s="42"/>
      <c r="H43" s="43"/>
      <c r="J43" s="207" t="s">
        <v>179</v>
      </c>
      <c r="K43" s="208"/>
      <c r="L43" s="208"/>
      <c r="M43" s="209"/>
      <c r="N43" s="231" t="s">
        <v>178</v>
      </c>
      <c r="O43" s="232" t="s">
        <v>180</v>
      </c>
      <c r="P43" s="210"/>
      <c r="Q43" s="210"/>
      <c r="R43" s="210"/>
      <c r="S43" s="210"/>
      <c r="T43" s="202"/>
      <c r="U43" s="202"/>
      <c r="V43" s="37"/>
    </row>
    <row r="44" spans="1:22" ht="13.5" thickBot="1">
      <c r="A44" s="45"/>
      <c r="B44" s="46"/>
      <c r="C44" s="46"/>
      <c r="D44" s="46"/>
      <c r="E44" s="46"/>
      <c r="F44" s="46"/>
      <c r="G44" s="46"/>
      <c r="H44" s="47"/>
      <c r="J44" s="168" t="s">
        <v>170</v>
      </c>
      <c r="K44" s="169"/>
      <c r="L44" s="169"/>
      <c r="M44" s="229"/>
      <c r="N44" s="177">
        <v>0.1924</v>
      </c>
      <c r="O44" s="178">
        <v>1682</v>
      </c>
      <c r="P44" s="210"/>
      <c r="Q44" s="210"/>
      <c r="R44" s="210"/>
      <c r="S44" s="210"/>
      <c r="T44" s="202"/>
      <c r="U44" s="202"/>
      <c r="V44" s="37"/>
    </row>
    <row r="45" spans="7:22" ht="12.75">
      <c r="G45" s="54" t="s">
        <v>94</v>
      </c>
      <c r="H45" s="54"/>
      <c r="J45" s="171" t="s">
        <v>171</v>
      </c>
      <c r="K45" s="149"/>
      <c r="L45" s="149"/>
      <c r="M45" s="165"/>
      <c r="N45" s="179">
        <v>0.165</v>
      </c>
      <c r="O45" s="180">
        <v>1602</v>
      </c>
      <c r="P45" s="210"/>
      <c r="Q45" s="210"/>
      <c r="R45" s="210"/>
      <c r="S45" s="210"/>
      <c r="T45" s="202"/>
      <c r="U45" s="202"/>
      <c r="V45" s="37"/>
    </row>
    <row r="46" spans="1:22" ht="12.75">
      <c r="A46" s="278" t="s">
        <v>189</v>
      </c>
      <c r="B46" s="278"/>
      <c r="C46" s="278"/>
      <c r="D46" s="278"/>
      <c r="E46" s="278"/>
      <c r="F46" s="278"/>
      <c r="G46" s="278"/>
      <c r="H46" s="212"/>
      <c r="I46" s="212"/>
      <c r="J46" s="171" t="s">
        <v>172</v>
      </c>
      <c r="K46" s="149"/>
      <c r="L46" s="149"/>
      <c r="M46" s="165"/>
      <c r="N46" s="179">
        <v>0.15</v>
      </c>
      <c r="O46" s="180">
        <v>1842</v>
      </c>
      <c r="P46" s="210"/>
      <c r="Q46" s="210"/>
      <c r="R46" s="210"/>
      <c r="S46" s="210"/>
      <c r="T46" s="202"/>
      <c r="U46" s="202"/>
      <c r="V46" s="37"/>
    </row>
    <row r="47" spans="4:22" ht="13.5" thickBot="1">
      <c r="D47" s="212"/>
      <c r="E47" s="212"/>
      <c r="F47" s="212"/>
      <c r="G47" s="212"/>
      <c r="H47" s="212"/>
      <c r="I47" s="212"/>
      <c r="J47" s="171" t="s">
        <v>173</v>
      </c>
      <c r="K47" s="149"/>
      <c r="L47" s="149"/>
      <c r="M47" s="165"/>
      <c r="N47" s="179">
        <v>0.11</v>
      </c>
      <c r="O47" s="180">
        <v>2082</v>
      </c>
      <c r="P47" s="210"/>
      <c r="Q47" s="210"/>
      <c r="R47" s="210"/>
      <c r="S47" s="210"/>
      <c r="T47" s="202"/>
      <c r="U47" s="202"/>
      <c r="V47" s="37"/>
    </row>
    <row r="48" spans="1:22" ht="29.25" customHeight="1" thickBot="1">
      <c r="A48" s="297" t="s">
        <v>182</v>
      </c>
      <c r="B48" s="298"/>
      <c r="C48" s="298"/>
      <c r="D48" s="299"/>
      <c r="J48" s="171" t="s">
        <v>174</v>
      </c>
      <c r="K48" s="149"/>
      <c r="L48" s="149"/>
      <c r="M48" s="165"/>
      <c r="N48" s="179">
        <v>0.13</v>
      </c>
      <c r="O48" s="180">
        <v>1922</v>
      </c>
      <c r="P48" s="210"/>
      <c r="Q48" s="210"/>
      <c r="R48" s="210"/>
      <c r="S48" s="210"/>
      <c r="T48" s="202"/>
      <c r="U48" s="202"/>
      <c r="V48" s="37"/>
    </row>
    <row r="49" spans="1:22" ht="29.25" customHeight="1">
      <c r="A49" s="216" t="s">
        <v>83</v>
      </c>
      <c r="B49" s="217"/>
      <c r="C49" s="80" t="s">
        <v>186</v>
      </c>
      <c r="D49" s="213">
        <v>2200</v>
      </c>
      <c r="J49" s="171" t="s">
        <v>175</v>
      </c>
      <c r="K49" s="149"/>
      <c r="L49" s="149"/>
      <c r="M49" s="165"/>
      <c r="N49" s="181">
        <v>0.165</v>
      </c>
      <c r="O49" s="180">
        <v>1922</v>
      </c>
      <c r="P49" s="210"/>
      <c r="Q49" s="211"/>
      <c r="R49" s="211"/>
      <c r="S49" s="210"/>
      <c r="T49" s="202"/>
      <c r="U49" s="202"/>
      <c r="V49" s="37"/>
    </row>
    <row r="50" spans="1:22" ht="29.25" customHeight="1">
      <c r="A50" s="218" t="s">
        <v>85</v>
      </c>
      <c r="B50" s="219"/>
      <c r="C50" s="80" t="s">
        <v>186</v>
      </c>
      <c r="D50" s="214">
        <v>1000</v>
      </c>
      <c r="J50" s="171" t="s">
        <v>176</v>
      </c>
      <c r="K50" s="149"/>
      <c r="L50" s="149"/>
      <c r="M50" s="165"/>
      <c r="N50" s="182">
        <v>0.165</v>
      </c>
      <c r="O50" s="180">
        <v>1842</v>
      </c>
      <c r="P50" s="210"/>
      <c r="Q50" s="210"/>
      <c r="R50" s="210"/>
      <c r="S50" s="210"/>
      <c r="T50" s="202"/>
      <c r="U50" s="202"/>
      <c r="V50" s="37"/>
    </row>
    <row r="51" spans="1:22" ht="13.5" thickBot="1">
      <c r="A51" s="218" t="s">
        <v>193</v>
      </c>
      <c r="B51" s="219"/>
      <c r="C51" s="80" t="s">
        <v>36</v>
      </c>
      <c r="D51" s="238"/>
      <c r="J51" s="173" t="s">
        <v>177</v>
      </c>
      <c r="K51" s="174"/>
      <c r="L51" s="174"/>
      <c r="M51" s="230"/>
      <c r="N51" s="183">
        <v>0.165</v>
      </c>
      <c r="O51" s="184">
        <v>1602</v>
      </c>
      <c r="P51" s="210"/>
      <c r="Q51" s="210"/>
      <c r="R51" s="210"/>
      <c r="S51" s="210"/>
      <c r="T51" s="202"/>
      <c r="U51" s="202"/>
      <c r="V51" s="37"/>
    </row>
    <row r="52" spans="1:22" ht="19.5" customHeight="1">
      <c r="A52" s="218" t="s">
        <v>82</v>
      </c>
      <c r="B52" s="219"/>
      <c r="C52" s="80" t="s">
        <v>81</v>
      </c>
      <c r="D52" s="238"/>
      <c r="J52" s="227"/>
      <c r="K52" s="203"/>
      <c r="L52" s="203"/>
      <c r="M52" s="228"/>
      <c r="N52" s="226"/>
      <c r="O52" s="225"/>
      <c r="P52" s="210"/>
      <c r="Q52" s="210"/>
      <c r="R52" s="210"/>
      <c r="S52" s="210"/>
      <c r="T52" s="202"/>
      <c r="U52" s="202"/>
      <c r="V52" s="37"/>
    </row>
    <row r="53" spans="1:22" ht="18.75" customHeight="1">
      <c r="A53" s="218" t="s">
        <v>84</v>
      </c>
      <c r="B53" s="219"/>
      <c r="C53" s="80" t="s">
        <v>43</v>
      </c>
      <c r="D53" s="214">
        <f>+E12</f>
      </c>
      <c r="V53" s="37"/>
    </row>
    <row r="54" spans="1:22" ht="41.25" customHeight="1">
      <c r="A54" s="287" t="s">
        <v>86</v>
      </c>
      <c r="B54" s="288"/>
      <c r="C54" s="80" t="s">
        <v>43</v>
      </c>
      <c r="D54" s="238"/>
      <c r="E54" s="61"/>
      <c r="V54" s="37"/>
    </row>
    <row r="55" spans="1:22" ht="14.25">
      <c r="A55" s="220" t="s">
        <v>184</v>
      </c>
      <c r="B55" s="221"/>
      <c r="C55" s="80" t="s">
        <v>187</v>
      </c>
      <c r="D55" s="215">
        <f>IF(C12="","",PI()*((C12/1000)^2)/4)</f>
      </c>
      <c r="J55" s="185"/>
      <c r="K55" s="185"/>
      <c r="L55" s="185"/>
      <c r="M55" s="185"/>
      <c r="N55" s="185"/>
      <c r="O55" s="185"/>
      <c r="P55" s="185"/>
      <c r="Q55" s="186"/>
      <c r="R55" s="149"/>
      <c r="V55" s="37"/>
    </row>
    <row r="56" spans="1:22" ht="13.5" thickBot="1">
      <c r="A56" s="201" t="s">
        <v>208</v>
      </c>
      <c r="B56" s="222"/>
      <c r="C56" s="85" t="s">
        <v>87</v>
      </c>
      <c r="D56" s="236">
        <f>IF(A12="","",(D51*(D52*D55*D50-D53-D54))/(1-D52*(D50/D49)))</f>
      </c>
      <c r="V56" s="37"/>
    </row>
    <row r="57" ht="28.5" customHeight="1">
      <c r="V57" s="37"/>
    </row>
    <row r="58" spans="1:22" ht="12.75">
      <c r="A58" s="281" t="s">
        <v>209</v>
      </c>
      <c r="B58" s="282">
        <f>+IF(OR(D56="",C29=""),"",IF(D56&lt;1.1*C29,"Peso del lastre insuficiente, aumentar FSF ó distancia entre lastres","Peso del lastre correcto"))</f>
      </c>
      <c r="C58" s="282"/>
      <c r="D58" s="282"/>
      <c r="V58" s="37"/>
    </row>
    <row r="59" spans="1:22" ht="12.75">
      <c r="A59" s="281"/>
      <c r="B59" s="282"/>
      <c r="C59" s="282"/>
      <c r="D59" s="282"/>
      <c r="V59" s="37"/>
    </row>
    <row r="60" spans="10:22" ht="12.75">
      <c r="J60" s="149"/>
      <c r="V60" s="37"/>
    </row>
    <row r="61" spans="10:22" ht="13.5" thickBot="1">
      <c r="J61" s="160"/>
      <c r="Q61" s="159"/>
      <c r="R61" s="159"/>
      <c r="S61" s="159"/>
      <c r="T61" s="157"/>
      <c r="V61" s="37"/>
    </row>
    <row r="62" spans="1:22" ht="12.75">
      <c r="A62" s="284" t="s">
        <v>183</v>
      </c>
      <c r="B62" s="285"/>
      <c r="C62" s="285"/>
      <c r="D62" s="286"/>
      <c r="J62" s="161"/>
      <c r="Q62" s="159"/>
      <c r="R62" s="159"/>
      <c r="S62" s="159"/>
      <c r="T62" s="158"/>
      <c r="V62" s="37"/>
    </row>
    <row r="63" spans="1:22" ht="14.25">
      <c r="A63" s="279" t="s">
        <v>89</v>
      </c>
      <c r="B63" s="280"/>
      <c r="C63" s="192" t="s">
        <v>185</v>
      </c>
      <c r="D63" s="87">
        <f>IF(A12="","",D56/D49)</f>
      </c>
      <c r="J63" s="161"/>
      <c r="Q63" s="159"/>
      <c r="R63" s="159"/>
      <c r="S63" s="159"/>
      <c r="T63" s="158"/>
      <c r="V63" s="37"/>
    </row>
    <row r="64" spans="1:22" ht="12.75">
      <c r="A64" s="283" t="s">
        <v>192</v>
      </c>
      <c r="B64" s="283"/>
      <c r="C64" s="192" t="s">
        <v>36</v>
      </c>
      <c r="D64" s="88">
        <f>IF(A26="","",D12+0.4)</f>
      </c>
      <c r="J64" s="161"/>
      <c r="Q64" s="159"/>
      <c r="R64" s="159"/>
      <c r="S64" s="159"/>
      <c r="T64" s="158"/>
      <c r="V64" s="37"/>
    </row>
    <row r="65" spans="1:22" ht="12.75">
      <c r="A65" s="279" t="s">
        <v>191</v>
      </c>
      <c r="B65" s="280"/>
      <c r="C65" s="192" t="s">
        <v>36</v>
      </c>
      <c r="D65" s="88">
        <f>IF(A12="","",D12+0.3)</f>
      </c>
      <c r="E65" s="224"/>
      <c r="F65" s="224"/>
      <c r="G65" s="224"/>
      <c r="J65" s="161"/>
      <c r="Q65" s="159"/>
      <c r="R65" s="159"/>
      <c r="S65" s="159"/>
      <c r="T65" s="158"/>
      <c r="V65" s="37"/>
    </row>
    <row r="66" spans="1:22" ht="13.5" thickBot="1">
      <c r="A66" s="245" t="s">
        <v>198</v>
      </c>
      <c r="B66" s="193"/>
      <c r="C66" s="86" t="s">
        <v>36</v>
      </c>
      <c r="D66" s="237">
        <f>IF(A26="","",D63/(D65*D64))</f>
      </c>
      <c r="E66" s="224"/>
      <c r="F66" s="224"/>
      <c r="G66" s="224"/>
      <c r="J66" s="162"/>
      <c r="Q66" s="159"/>
      <c r="R66" s="159"/>
      <c r="S66" s="159"/>
      <c r="T66" s="158"/>
      <c r="V66" s="37"/>
    </row>
    <row r="67" spans="10:22" ht="12.75">
      <c r="J67" s="162"/>
      <c r="Q67" s="159"/>
      <c r="R67" s="159"/>
      <c r="S67" s="159"/>
      <c r="T67" s="158"/>
      <c r="V67" s="37"/>
    </row>
    <row r="68" spans="1:22" ht="12.75">
      <c r="A68" s="223" t="s">
        <v>194</v>
      </c>
      <c r="B68" s="224"/>
      <c r="C68" s="224"/>
      <c r="D68" s="224"/>
      <c r="J68" s="163"/>
      <c r="Q68" s="159"/>
      <c r="R68" s="159"/>
      <c r="S68" s="159"/>
      <c r="T68" s="158"/>
      <c r="V68" s="37"/>
    </row>
    <row r="69" spans="1:22" ht="12.75">
      <c r="A69" s="224"/>
      <c r="B69" s="224"/>
      <c r="C69" s="224"/>
      <c r="D69" s="224"/>
      <c r="N69" s="159"/>
      <c r="O69" s="159"/>
      <c r="P69" s="159"/>
      <c r="Q69" s="159"/>
      <c r="R69" s="159"/>
      <c r="S69" s="159"/>
      <c r="T69" s="158"/>
      <c r="V69" s="37"/>
    </row>
    <row r="70" spans="14:22" ht="12.75">
      <c r="N70" s="159"/>
      <c r="O70" s="159"/>
      <c r="P70" s="159"/>
      <c r="Q70" s="159"/>
      <c r="R70" s="159"/>
      <c r="S70" s="159"/>
      <c r="V70" s="37"/>
    </row>
    <row r="71" ht="12.75">
      <c r="V71" s="37"/>
    </row>
    <row r="72" ht="12.75">
      <c r="V72" s="37"/>
    </row>
  </sheetData>
  <sheetProtection/>
  <mergeCells count="34">
    <mergeCell ref="J8:U8"/>
    <mergeCell ref="A15:B15"/>
    <mergeCell ref="C15:D15"/>
    <mergeCell ref="Q41:S41"/>
    <mergeCell ref="N41:P41"/>
    <mergeCell ref="A26:B26"/>
    <mergeCell ref="A33:D33"/>
    <mergeCell ref="A30:B30"/>
    <mergeCell ref="A28:D28"/>
    <mergeCell ref="A29:B29"/>
    <mergeCell ref="C43:E43"/>
    <mergeCell ref="C42:E42"/>
    <mergeCell ref="A48:D48"/>
    <mergeCell ref="J42:O42"/>
    <mergeCell ref="A25:B25"/>
    <mergeCell ref="C3:E3"/>
    <mergeCell ref="A14:D14"/>
    <mergeCell ref="J9:K10"/>
    <mergeCell ref="A36:G37"/>
    <mergeCell ref="N9:O9"/>
    <mergeCell ref="C2:E2"/>
    <mergeCell ref="A34:B34"/>
    <mergeCell ref="A31:B31"/>
    <mergeCell ref="A24:D24"/>
    <mergeCell ref="E26:G27"/>
    <mergeCell ref="D31:F31"/>
    <mergeCell ref="A46:G46"/>
    <mergeCell ref="A65:B65"/>
    <mergeCell ref="A58:A59"/>
    <mergeCell ref="B58:D59"/>
    <mergeCell ref="A64:B64"/>
    <mergeCell ref="A63:B63"/>
    <mergeCell ref="A62:D62"/>
    <mergeCell ref="A54:B54"/>
  </mergeCells>
  <dataValidations count="3">
    <dataValidation type="list" allowBlank="1" showInputMessage="1" showErrorMessage="1" sqref="A26:B26">
      <formula1>$J$44:$J$51</formula1>
    </dataValidation>
    <dataValidation operator="lessThan" allowBlank="1" showInputMessage="1" showErrorMessage="1" error="AAAA" sqref="D31"/>
    <dataValidation type="list" allowBlank="1" showInputMessage="1" showErrorMessage="1" sqref="A12">
      <formula1>$J$11:$J$38</formula1>
    </dataValidation>
  </dataValidations>
  <printOptions/>
  <pageMargins left="0.75" right="0.75" top="1" bottom="1" header="0" footer="0"/>
  <pageSetup horizontalDpi="600" verticalDpi="600" orientation="portrait" scale="92" r:id="rId4"/>
  <rowBreaks count="1" manualBreakCount="1">
    <brk id="38" max="7" man="1"/>
  </rowBreaks>
  <drawing r:id="rId3"/>
  <legacyDrawing r:id="rId2"/>
  <oleObjects>
    <oleObject progId="Equation.DSMT4" shapeId="1934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78"/>
  <sheetViews>
    <sheetView view="pageBreakPreview" zoomScaleSheetLayoutView="100" zoomScalePageLayoutView="0" workbookViewId="0" topLeftCell="A4">
      <selection activeCell="Q20" sqref="Q20"/>
    </sheetView>
  </sheetViews>
  <sheetFormatPr defaultColWidth="11.421875" defaultRowHeight="12.75"/>
  <cols>
    <col min="1" max="1" width="17.8515625" style="37" customWidth="1"/>
    <col min="2" max="2" width="14.57421875" style="37" customWidth="1"/>
    <col min="3" max="3" width="16.140625" style="37" customWidth="1"/>
    <col min="4" max="4" width="13.421875" style="37" customWidth="1"/>
    <col min="5" max="5" width="12.7109375" style="37" customWidth="1"/>
    <col min="6" max="7" width="11.421875" style="37" customWidth="1"/>
    <col min="8" max="8" width="3.8515625" style="37" customWidth="1"/>
    <col min="9" max="9" width="11.421875" style="37" customWidth="1"/>
    <col min="10" max="10" width="14.8515625" style="37" hidden="1" customWidth="1"/>
    <col min="11" max="11" width="11.421875" style="37" hidden="1" customWidth="1"/>
    <col min="12" max="13" width="11.421875" style="0" hidden="1" customWidth="1"/>
    <col min="14" max="14" width="21.00390625" style="0" hidden="1" customWidth="1"/>
    <col min="15" max="16" width="11.421875" style="0" hidden="1" customWidth="1"/>
  </cols>
  <sheetData>
    <row r="1" spans="1:8" ht="13.5" thickBot="1">
      <c r="A1" s="38"/>
      <c r="B1" s="39"/>
      <c r="C1" s="39"/>
      <c r="D1" s="39"/>
      <c r="E1" s="39"/>
      <c r="F1" s="39"/>
      <c r="G1" s="39"/>
      <c r="H1" s="40"/>
    </row>
    <row r="2" spans="1:14" ht="13.5" thickBot="1">
      <c r="A2" s="41"/>
      <c r="B2" s="42"/>
      <c r="C2" s="277" t="s">
        <v>57</v>
      </c>
      <c r="D2" s="277"/>
      <c r="E2" s="277"/>
      <c r="F2" s="42"/>
      <c r="G2" s="42"/>
      <c r="H2" s="43"/>
      <c r="J2" s="311" t="s">
        <v>92</v>
      </c>
      <c r="K2" s="312"/>
      <c r="L2" s="312"/>
      <c r="M2" s="312"/>
      <c r="N2" s="313"/>
    </row>
    <row r="3" spans="1:14" ht="12.75">
      <c r="A3" s="44"/>
      <c r="B3" s="42"/>
      <c r="C3" s="277" t="s">
        <v>252</v>
      </c>
      <c r="D3" s="277"/>
      <c r="E3" s="277"/>
      <c r="F3" s="53"/>
      <c r="G3" s="42"/>
      <c r="H3" s="43"/>
      <c r="I3" s="42"/>
      <c r="J3" s="328" t="s">
        <v>1</v>
      </c>
      <c r="K3" s="329"/>
      <c r="L3" s="94" t="s">
        <v>2</v>
      </c>
      <c r="M3" s="94" t="s">
        <v>2</v>
      </c>
      <c r="N3" s="95" t="s">
        <v>34</v>
      </c>
    </row>
    <row r="4" spans="1:14" ht="13.5" thickBot="1">
      <c r="A4" s="45"/>
      <c r="B4" s="46"/>
      <c r="C4" s="46"/>
      <c r="D4" s="46"/>
      <c r="E4" s="46"/>
      <c r="F4" s="46"/>
      <c r="G4" s="46"/>
      <c r="H4" s="47"/>
      <c r="I4" s="52" t="s">
        <v>56</v>
      </c>
      <c r="J4" s="330"/>
      <c r="K4" s="331"/>
      <c r="L4" s="97" t="s">
        <v>40</v>
      </c>
      <c r="M4" s="98" t="s">
        <v>93</v>
      </c>
      <c r="N4" s="99" t="s">
        <v>41</v>
      </c>
    </row>
    <row r="5" spans="7:14" ht="12.75">
      <c r="G5" s="54" t="s">
        <v>58</v>
      </c>
      <c r="H5" s="54"/>
      <c r="I5" s="42"/>
      <c r="J5" s="101" t="s">
        <v>96</v>
      </c>
      <c r="K5" s="102" t="s">
        <v>91</v>
      </c>
      <c r="L5" s="103">
        <v>54.58</v>
      </c>
      <c r="M5" s="104">
        <v>60.32</v>
      </c>
      <c r="N5" s="105">
        <v>0.81</v>
      </c>
    </row>
    <row r="6" spans="1:14" ht="12.75">
      <c r="A6" s="56" t="s">
        <v>77</v>
      </c>
      <c r="B6" s="58"/>
      <c r="C6" s="58"/>
      <c r="D6" s="42"/>
      <c r="E6" s="42"/>
      <c r="F6" s="42"/>
      <c r="I6" s="42"/>
      <c r="J6" s="107" t="s">
        <v>97</v>
      </c>
      <c r="K6" s="108" t="s">
        <v>91</v>
      </c>
      <c r="L6" s="109">
        <v>66.07</v>
      </c>
      <c r="M6" s="110">
        <v>73.03</v>
      </c>
      <c r="N6" s="111">
        <v>1.18</v>
      </c>
    </row>
    <row r="7" spans="1:14" ht="12.75">
      <c r="A7" s="56" t="s">
        <v>78</v>
      </c>
      <c r="B7" s="59"/>
      <c r="C7" s="59"/>
      <c r="J7" s="107" t="s">
        <v>98</v>
      </c>
      <c r="K7" s="108" t="s">
        <v>91</v>
      </c>
      <c r="L7" s="109">
        <v>80.42</v>
      </c>
      <c r="M7" s="110">
        <v>88.9</v>
      </c>
      <c r="N7" s="111">
        <v>1.76</v>
      </c>
    </row>
    <row r="8" spans="1:14" ht="12.75">
      <c r="A8" s="56" t="s">
        <v>79</v>
      </c>
      <c r="B8" s="59"/>
      <c r="C8" s="59"/>
      <c r="D8" s="60" t="s">
        <v>80</v>
      </c>
      <c r="E8" s="58"/>
      <c r="F8" s="58"/>
      <c r="J8" s="107" t="s">
        <v>99</v>
      </c>
      <c r="K8" s="108" t="s">
        <v>91</v>
      </c>
      <c r="L8" s="109">
        <v>103.42</v>
      </c>
      <c r="M8" s="110">
        <v>114.3</v>
      </c>
      <c r="N8" s="111">
        <v>2.9</v>
      </c>
    </row>
    <row r="9" spans="10:14" ht="15.75" customHeight="1" thickBot="1">
      <c r="J9" s="107" t="s">
        <v>100</v>
      </c>
      <c r="K9" s="108" t="s">
        <v>91</v>
      </c>
      <c r="L9" s="109">
        <v>152.22</v>
      </c>
      <c r="M9" s="110">
        <v>168.28</v>
      </c>
      <c r="N9" s="111">
        <v>6.31</v>
      </c>
    </row>
    <row r="10" spans="1:14" ht="30" customHeight="1">
      <c r="A10" s="71" t="s">
        <v>47</v>
      </c>
      <c r="C10" s="65" t="s">
        <v>45</v>
      </c>
      <c r="D10" s="66" t="s">
        <v>46</v>
      </c>
      <c r="E10" s="67" t="s">
        <v>34</v>
      </c>
      <c r="J10" s="107" t="s">
        <v>101</v>
      </c>
      <c r="K10" s="108" t="s">
        <v>91</v>
      </c>
      <c r="L10" s="109">
        <v>198.21</v>
      </c>
      <c r="M10" s="110">
        <v>219.03</v>
      </c>
      <c r="N10" s="111">
        <v>10.67</v>
      </c>
    </row>
    <row r="11" spans="1:14" ht="21" customHeight="1" thickBot="1">
      <c r="A11" s="72" t="s">
        <v>95</v>
      </c>
      <c r="C11" s="68" t="s">
        <v>44</v>
      </c>
      <c r="D11" s="69" t="s">
        <v>36</v>
      </c>
      <c r="E11" s="70" t="s">
        <v>43</v>
      </c>
      <c r="J11" s="107" t="s">
        <v>102</v>
      </c>
      <c r="K11" s="108" t="s">
        <v>91</v>
      </c>
      <c r="L11" s="109">
        <v>247.09</v>
      </c>
      <c r="M11" s="110">
        <v>273.05</v>
      </c>
      <c r="N11" s="111">
        <v>16.63</v>
      </c>
    </row>
    <row r="12" spans="1:14" ht="29.25" customHeight="1" thickBot="1">
      <c r="A12" s="244" t="s">
        <v>118</v>
      </c>
      <c r="C12" s="62">
        <f>IF($A$12="","",VLOOKUP($A$12,$J$5:$N$63,3,FALSE))</f>
        <v>375.16</v>
      </c>
      <c r="D12" s="197">
        <f>IF($A$12="","",VLOOKUP($A$12,$J$5:$N$63,4,FALSE)/1000)</f>
        <v>0.4044</v>
      </c>
      <c r="E12" s="62">
        <f>IF($A$12="","",VLOOKUP($A$12,$J$5:$N$63,5,FALSE))</f>
        <v>30.22</v>
      </c>
      <c r="J12" s="107" t="s">
        <v>103</v>
      </c>
      <c r="K12" s="108" t="s">
        <v>91</v>
      </c>
      <c r="L12" s="109">
        <v>293.07</v>
      </c>
      <c r="M12" s="110">
        <v>323.85</v>
      </c>
      <c r="N12" s="111">
        <v>23.45</v>
      </c>
    </row>
    <row r="13" spans="10:14" ht="13.5" thickBot="1">
      <c r="J13" s="107" t="s">
        <v>104</v>
      </c>
      <c r="K13" s="108" t="s">
        <v>91</v>
      </c>
      <c r="L13" s="109">
        <v>321.76</v>
      </c>
      <c r="M13" s="110">
        <v>355.6</v>
      </c>
      <c r="N13" s="111">
        <v>28.14</v>
      </c>
    </row>
    <row r="14" spans="1:14" ht="13.5" thickBot="1">
      <c r="A14" s="292" t="s">
        <v>60</v>
      </c>
      <c r="B14" s="293"/>
      <c r="C14" s="293"/>
      <c r="D14" s="294"/>
      <c r="J14" s="107" t="s">
        <v>105</v>
      </c>
      <c r="K14" s="108" t="s">
        <v>91</v>
      </c>
      <c r="L14" s="109">
        <v>367.7</v>
      </c>
      <c r="M14" s="110">
        <v>404.4</v>
      </c>
      <c r="N14" s="111">
        <v>36.78</v>
      </c>
    </row>
    <row r="15" spans="1:14" ht="12.75">
      <c r="A15" s="284" t="s">
        <v>61</v>
      </c>
      <c r="B15" s="285"/>
      <c r="C15" s="284" t="s">
        <v>64</v>
      </c>
      <c r="D15" s="286"/>
      <c r="J15" s="107" t="s">
        <v>106</v>
      </c>
      <c r="K15" s="108" t="s">
        <v>91</v>
      </c>
      <c r="L15" s="109">
        <v>413.66</v>
      </c>
      <c r="M15" s="110">
        <v>457.2</v>
      </c>
      <c r="N15" s="111">
        <v>46.53</v>
      </c>
    </row>
    <row r="16" spans="1:14" ht="12.75">
      <c r="A16" s="73" t="s">
        <v>62</v>
      </c>
      <c r="B16" s="74" t="s">
        <v>63</v>
      </c>
      <c r="C16" s="73" t="s">
        <v>62</v>
      </c>
      <c r="D16" s="75" t="s">
        <v>63</v>
      </c>
      <c r="J16" s="107" t="s">
        <v>107</v>
      </c>
      <c r="K16" s="108" t="s">
        <v>91</v>
      </c>
      <c r="L16" s="109">
        <v>459.64</v>
      </c>
      <c r="M16" s="110">
        <v>508</v>
      </c>
      <c r="N16" s="111">
        <v>53.82</v>
      </c>
    </row>
    <row r="17" spans="1:14" ht="13.5" thickBot="1">
      <c r="A17" s="240">
        <v>199.5</v>
      </c>
      <c r="B17" s="241">
        <v>199.8</v>
      </c>
      <c r="C17" s="240">
        <v>200</v>
      </c>
      <c r="D17" s="242">
        <v>200</v>
      </c>
      <c r="J17" s="113" t="s">
        <v>108</v>
      </c>
      <c r="K17" s="114" t="s">
        <v>91</v>
      </c>
      <c r="L17" s="121">
        <v>551.54</v>
      </c>
      <c r="M17" s="115">
        <v>609.6</v>
      </c>
      <c r="N17" s="116">
        <v>80.62</v>
      </c>
    </row>
    <row r="18" spans="1:14" ht="13.5" thickBot="1">
      <c r="A18" s="55"/>
      <c r="B18" s="55"/>
      <c r="C18" s="55"/>
      <c r="D18" s="55"/>
      <c r="J18" s="122" t="s">
        <v>109</v>
      </c>
      <c r="K18" s="123" t="s">
        <v>91</v>
      </c>
      <c r="L18" s="124">
        <v>55.7</v>
      </c>
      <c r="M18" s="125">
        <v>60.32</v>
      </c>
      <c r="N18" s="126">
        <v>0.655</v>
      </c>
    </row>
    <row r="19" spans="1:14" ht="12.75">
      <c r="A19" s="76" t="s">
        <v>167</v>
      </c>
      <c r="B19" s="239"/>
      <c r="C19" s="55"/>
      <c r="D19" s="55"/>
      <c r="J19" s="127" t="s">
        <v>110</v>
      </c>
      <c r="K19" s="128" t="s">
        <v>91</v>
      </c>
      <c r="L19" s="129">
        <v>67.45</v>
      </c>
      <c r="M19" s="130">
        <v>73.03</v>
      </c>
      <c r="N19" s="131">
        <v>0.964</v>
      </c>
    </row>
    <row r="20" spans="1:14" ht="12.75">
      <c r="A20" s="77" t="s">
        <v>65</v>
      </c>
      <c r="B20" s="88">
        <f>IF(A12="","",IF(C17="","",(MIN(C17:D17)-MIN(A17:B17))+D12))</f>
        <v>0.9044</v>
      </c>
      <c r="J20" s="127" t="s">
        <v>111</v>
      </c>
      <c r="K20" s="128" t="s">
        <v>91</v>
      </c>
      <c r="L20" s="129">
        <v>82.04</v>
      </c>
      <c r="M20" s="130">
        <v>88.9</v>
      </c>
      <c r="N20" s="131">
        <v>1.438</v>
      </c>
    </row>
    <row r="21" spans="1:14" ht="12.75">
      <c r="A21" s="77" t="s">
        <v>66</v>
      </c>
      <c r="B21" s="260">
        <f>IF(B20="","",IF(B20-B19&gt;B20,"Terreno inundado",B20-D12-B22))</f>
        <v>0</v>
      </c>
      <c r="J21" s="127" t="s">
        <v>112</v>
      </c>
      <c r="K21" s="128" t="s">
        <v>91</v>
      </c>
      <c r="L21" s="129">
        <v>105.52</v>
      </c>
      <c r="M21" s="130">
        <v>114.3</v>
      </c>
      <c r="N21" s="131">
        <v>2.376</v>
      </c>
    </row>
    <row r="22" spans="1:14" ht="13.5" thickBot="1">
      <c r="A22" s="78" t="s">
        <v>67</v>
      </c>
      <c r="B22" s="261">
        <f>IF(B20="","",IF(B20-B19&lt;D12,0,B20-B19-D12))</f>
        <v>0.5</v>
      </c>
      <c r="J22" s="127" t="s">
        <v>113</v>
      </c>
      <c r="K22" s="128" t="s">
        <v>91</v>
      </c>
      <c r="L22" s="129">
        <v>155.32</v>
      </c>
      <c r="M22" s="130">
        <v>168.28</v>
      </c>
      <c r="N22" s="131">
        <v>5.148</v>
      </c>
    </row>
    <row r="23" spans="10:14" ht="13.5" thickBot="1">
      <c r="J23" s="127" t="s">
        <v>114</v>
      </c>
      <c r="K23" s="128" t="s">
        <v>91</v>
      </c>
      <c r="L23" s="129">
        <v>202.17</v>
      </c>
      <c r="M23" s="130">
        <v>219.03</v>
      </c>
      <c r="N23" s="131">
        <v>8.735</v>
      </c>
    </row>
    <row r="24" spans="1:14" ht="13.5" thickBot="1">
      <c r="A24" s="292" t="s">
        <v>68</v>
      </c>
      <c r="B24" s="293"/>
      <c r="C24" s="293"/>
      <c r="D24" s="294"/>
      <c r="J24" s="127" t="s">
        <v>115</v>
      </c>
      <c r="K24" s="128" t="s">
        <v>91</v>
      </c>
      <c r="L24" s="129">
        <v>252.07</v>
      </c>
      <c r="M24" s="130">
        <v>273.05</v>
      </c>
      <c r="N24" s="131">
        <v>13.666</v>
      </c>
    </row>
    <row r="25" spans="1:14" ht="59.25" customHeight="1">
      <c r="A25" s="303" t="s">
        <v>70</v>
      </c>
      <c r="B25" s="304"/>
      <c r="C25" s="79" t="s">
        <v>188</v>
      </c>
      <c r="D25" s="79" t="s">
        <v>206</v>
      </c>
      <c r="J25" s="127" t="s">
        <v>116</v>
      </c>
      <c r="K25" s="128" t="s">
        <v>91</v>
      </c>
      <c r="L25" s="129">
        <v>298.95</v>
      </c>
      <c r="M25" s="130">
        <v>323.85</v>
      </c>
      <c r="N25" s="131">
        <v>19.288</v>
      </c>
    </row>
    <row r="26" spans="1:14" ht="38.25" customHeight="1" thickBot="1">
      <c r="A26" s="316" t="s">
        <v>171</v>
      </c>
      <c r="B26" s="317"/>
      <c r="C26" s="93">
        <f>IF($A$26="","",VLOOKUP($A$26,$J$67:$O$74,6,FALSE))</f>
        <v>1602</v>
      </c>
      <c r="D26" s="191">
        <f>IF($A$26="","",1.1*VLOOKUP($A$26,$J$67:$O$74,6,FALSE))</f>
        <v>1762.2</v>
      </c>
      <c r="E26" s="295" t="s">
        <v>76</v>
      </c>
      <c r="F26" s="295"/>
      <c r="G26" s="295"/>
      <c r="H26" s="155"/>
      <c r="J26" s="127" t="s">
        <v>117</v>
      </c>
      <c r="K26" s="128" t="s">
        <v>91</v>
      </c>
      <c r="L26" s="129">
        <v>328.26</v>
      </c>
      <c r="M26" s="130">
        <v>355.6</v>
      </c>
      <c r="N26" s="131">
        <v>22.65</v>
      </c>
    </row>
    <row r="27" spans="5:14" ht="12.75">
      <c r="E27" s="295"/>
      <c r="F27" s="295"/>
      <c r="G27" s="295"/>
      <c r="H27" s="155"/>
      <c r="J27" s="127" t="s">
        <v>118</v>
      </c>
      <c r="K27" s="128" t="s">
        <v>91</v>
      </c>
      <c r="L27" s="129">
        <v>375.16</v>
      </c>
      <c r="M27" s="130">
        <v>404.4</v>
      </c>
      <c r="N27" s="131">
        <v>30.22</v>
      </c>
    </row>
    <row r="28" spans="1:14" ht="12.75">
      <c r="A28" s="321" t="s">
        <v>73</v>
      </c>
      <c r="B28" s="321"/>
      <c r="C28" s="321"/>
      <c r="D28" s="321"/>
      <c r="J28" s="127" t="s">
        <v>119</v>
      </c>
      <c r="K28" s="128" t="s">
        <v>91</v>
      </c>
      <c r="L28" s="129">
        <v>422.04</v>
      </c>
      <c r="M28" s="130">
        <v>457.2</v>
      </c>
      <c r="N28" s="131">
        <v>38.03</v>
      </c>
    </row>
    <row r="29" spans="1:14" ht="26.25" customHeight="1">
      <c r="A29" s="291" t="s">
        <v>71</v>
      </c>
      <c r="B29" s="291"/>
      <c r="C29" s="262">
        <f>IF(OR(A26="",B19=""),"",IF(B19&gt;0,PI()*(D12^2)/4*1000,"No hay N.F., tubería no flotará"))</f>
      </c>
      <c r="D29" s="91" t="s">
        <v>74</v>
      </c>
      <c r="J29" s="127" t="s">
        <v>120</v>
      </c>
      <c r="K29" s="128" t="s">
        <v>91</v>
      </c>
      <c r="L29" s="129">
        <v>468.94</v>
      </c>
      <c r="M29" s="130">
        <v>508</v>
      </c>
      <c r="N29" s="131">
        <v>43.97</v>
      </c>
    </row>
    <row r="30" spans="1:14" ht="33.75" customHeight="1" thickBot="1">
      <c r="A30" s="291" t="s">
        <v>72</v>
      </c>
      <c r="B30" s="291"/>
      <c r="C30" s="90">
        <f>IF(OR(A26="",B21=""),"",IF(B21="Terreno inundado","",((D12)*((B21*C26)+(B22*D26)))+E12))</f>
        <v>386.53684</v>
      </c>
      <c r="D30" s="92" t="s">
        <v>74</v>
      </c>
      <c r="J30" s="132" t="s">
        <v>121</v>
      </c>
      <c r="K30" s="133" t="s">
        <v>91</v>
      </c>
      <c r="L30" s="134">
        <v>562.72</v>
      </c>
      <c r="M30" s="135">
        <v>609.6</v>
      </c>
      <c r="N30" s="136">
        <v>65.72</v>
      </c>
    </row>
    <row r="31" spans="1:14" ht="27" customHeight="1">
      <c r="A31" s="332" t="s">
        <v>75</v>
      </c>
      <c r="B31" s="332"/>
      <c r="C31" s="235" t="e">
        <f>IF(OR(A26="",C30=""),"",IF(C29="No hay N.F., tubería no flotará","",IF(B21="Terreno inundado","",C30/C29)))</f>
        <v>#VALUE!</v>
      </c>
      <c r="D31" s="296" t="e">
        <f>IF(A26="","",IF(C31="","",IF(C31&lt;1.1,"FSF incorrecto: Colocar atraques y/ó aumentar el relleno","FSF correcto")))</f>
        <v>#VALUE!</v>
      </c>
      <c r="E31" s="296"/>
      <c r="F31" s="296"/>
      <c r="J31" s="101" t="s">
        <v>122</v>
      </c>
      <c r="K31" s="102" t="s">
        <v>91</v>
      </c>
      <c r="L31" s="103">
        <v>83.42</v>
      </c>
      <c r="M31" s="104">
        <v>88.9</v>
      </c>
      <c r="N31" s="105">
        <v>1.157</v>
      </c>
    </row>
    <row r="32" spans="10:14" ht="13.5" thickBot="1">
      <c r="J32" s="107" t="s">
        <v>123</v>
      </c>
      <c r="K32" s="108" t="s">
        <v>91</v>
      </c>
      <c r="L32" s="109">
        <v>107.28</v>
      </c>
      <c r="M32" s="110">
        <v>114.3</v>
      </c>
      <c r="N32" s="111">
        <v>1.904</v>
      </c>
    </row>
    <row r="33" spans="1:14" ht="13.5" thickBot="1">
      <c r="A33" s="292" t="s">
        <v>90</v>
      </c>
      <c r="B33" s="293"/>
      <c r="C33" s="293"/>
      <c r="D33" s="294"/>
      <c r="J33" s="107" t="s">
        <v>124</v>
      </c>
      <c r="K33" s="108" t="s">
        <v>91</v>
      </c>
      <c r="L33" s="109">
        <v>157.92</v>
      </c>
      <c r="M33" s="110">
        <v>168.28</v>
      </c>
      <c r="N33" s="109">
        <v>4.135</v>
      </c>
    </row>
    <row r="34" spans="1:14" ht="22.5" customHeight="1" thickBot="1">
      <c r="A34" s="289" t="s">
        <v>181</v>
      </c>
      <c r="B34" s="290"/>
      <c r="C34" s="148" t="s">
        <v>36</v>
      </c>
      <c r="D34" s="247">
        <f>IF(A26="","",IF(OR(C29="No hay N.F., tubería no flotará",C29=""),"",((C29*1.1)/(D26*D12))))</f>
      </c>
      <c r="E34" s="156"/>
      <c r="F34" s="156"/>
      <c r="J34" s="107" t="s">
        <v>125</v>
      </c>
      <c r="K34" s="108" t="s">
        <v>91</v>
      </c>
      <c r="L34" s="109">
        <v>205.57</v>
      </c>
      <c r="M34" s="110">
        <v>219.03</v>
      </c>
      <c r="N34" s="109">
        <v>7.019</v>
      </c>
    </row>
    <row r="35" spans="2:14" ht="12.75" customHeight="1">
      <c r="B35" s="200"/>
      <c r="C35" s="200"/>
      <c r="D35" s="200"/>
      <c r="E35" s="200"/>
      <c r="F35" s="200"/>
      <c r="G35" s="200"/>
      <c r="H35" s="200"/>
      <c r="J35" s="107" t="s">
        <v>126</v>
      </c>
      <c r="K35" s="108" t="s">
        <v>91</v>
      </c>
      <c r="L35" s="109">
        <v>256.23</v>
      </c>
      <c r="M35" s="110">
        <v>273.05</v>
      </c>
      <c r="N35" s="109">
        <v>11.135</v>
      </c>
    </row>
    <row r="36" spans="1:14" ht="21.75" customHeight="1">
      <c r="A36" s="325" t="s">
        <v>190</v>
      </c>
      <c r="B36" s="325"/>
      <c r="C36" s="325"/>
      <c r="D36" s="325"/>
      <c r="E36" s="325"/>
      <c r="F36" s="325"/>
      <c r="G36" s="325"/>
      <c r="H36" s="199"/>
      <c r="J36" s="107" t="s">
        <v>127</v>
      </c>
      <c r="K36" s="108" t="s">
        <v>91</v>
      </c>
      <c r="L36" s="109">
        <v>303.93</v>
      </c>
      <c r="M36" s="110">
        <v>323.85</v>
      </c>
      <c r="N36" s="109">
        <v>15.701</v>
      </c>
    </row>
    <row r="37" spans="1:14" ht="12.75">
      <c r="A37" s="57"/>
      <c r="J37" s="107" t="s">
        <v>128</v>
      </c>
      <c r="K37" s="108" t="s">
        <v>91</v>
      </c>
      <c r="L37" s="109">
        <v>333.76</v>
      </c>
      <c r="M37" s="110">
        <v>355.6</v>
      </c>
      <c r="N37" s="109">
        <v>18.28</v>
      </c>
    </row>
    <row r="38" spans="1:14" ht="12.75">
      <c r="A38" s="57"/>
      <c r="J38" s="107" t="s">
        <v>129</v>
      </c>
      <c r="K38" s="108" t="s">
        <v>91</v>
      </c>
      <c r="L38" s="109">
        <v>381.4</v>
      </c>
      <c r="M38" s="110">
        <v>404.4</v>
      </c>
      <c r="N38" s="109">
        <v>23.88</v>
      </c>
    </row>
    <row r="39" spans="10:14" ht="13.5" thickBot="1">
      <c r="J39" s="107" t="s">
        <v>130</v>
      </c>
      <c r="K39" s="108" t="s">
        <v>91</v>
      </c>
      <c r="L39" s="109">
        <v>429.06</v>
      </c>
      <c r="M39" s="110">
        <v>457.2</v>
      </c>
      <c r="N39" s="109">
        <v>30.77</v>
      </c>
    </row>
    <row r="40" spans="1:14" ht="13.5" customHeight="1">
      <c r="A40" s="38"/>
      <c r="B40" s="39"/>
      <c r="C40" s="39"/>
      <c r="D40" s="39"/>
      <c r="E40" s="39"/>
      <c r="F40" s="39"/>
      <c r="G40" s="40"/>
      <c r="H40" s="42"/>
      <c r="J40" s="107" t="s">
        <v>131</v>
      </c>
      <c r="K40" s="108" t="s">
        <v>91</v>
      </c>
      <c r="L40" s="109">
        <v>476.76</v>
      </c>
      <c r="M40" s="110">
        <v>508</v>
      </c>
      <c r="N40" s="109">
        <v>37.95</v>
      </c>
    </row>
    <row r="41" spans="1:14" ht="13.5" customHeight="1" thickBot="1">
      <c r="A41" s="41"/>
      <c r="B41" s="42"/>
      <c r="C41" s="277" t="s">
        <v>57</v>
      </c>
      <c r="D41" s="277"/>
      <c r="E41" s="277"/>
      <c r="F41" s="42"/>
      <c r="G41" s="43"/>
      <c r="H41" s="42"/>
      <c r="J41" s="117" t="s">
        <v>132</v>
      </c>
      <c r="K41" s="118" t="s">
        <v>91</v>
      </c>
      <c r="L41" s="120">
        <v>572.1</v>
      </c>
      <c r="M41" s="119">
        <v>609.6</v>
      </c>
      <c r="N41" s="109">
        <v>52.99</v>
      </c>
    </row>
    <row r="42" spans="1:14" ht="12.75">
      <c r="A42" s="44"/>
      <c r="B42" s="42"/>
      <c r="C42" s="277" t="s">
        <v>252</v>
      </c>
      <c r="D42" s="277"/>
      <c r="E42" s="277"/>
      <c r="F42" s="53"/>
      <c r="G42" s="43"/>
      <c r="H42" s="42"/>
      <c r="J42" s="122" t="s">
        <v>133</v>
      </c>
      <c r="K42" s="123" t="s">
        <v>91</v>
      </c>
      <c r="L42" s="124">
        <v>108.72</v>
      </c>
      <c r="M42" s="125">
        <v>114.3</v>
      </c>
      <c r="N42" s="109">
        <v>1.535</v>
      </c>
    </row>
    <row r="43" spans="1:14" ht="13.5" thickBot="1">
      <c r="A43" s="45"/>
      <c r="B43" s="46"/>
      <c r="C43" s="46"/>
      <c r="D43" s="46"/>
      <c r="E43" s="46"/>
      <c r="F43" s="46"/>
      <c r="G43" s="47"/>
      <c r="H43" s="42"/>
      <c r="J43" s="127" t="s">
        <v>134</v>
      </c>
      <c r="K43" s="128" t="s">
        <v>91</v>
      </c>
      <c r="L43" s="129">
        <v>160.04</v>
      </c>
      <c r="M43" s="130">
        <v>168.28</v>
      </c>
      <c r="N43" s="109">
        <v>3.322</v>
      </c>
    </row>
    <row r="44" spans="7:14" ht="12.75">
      <c r="G44" s="54" t="s">
        <v>94</v>
      </c>
      <c r="H44" s="54"/>
      <c r="J44" s="127" t="s">
        <v>135</v>
      </c>
      <c r="K44" s="128" t="s">
        <v>91</v>
      </c>
      <c r="L44" s="129">
        <v>208.37</v>
      </c>
      <c r="M44" s="130">
        <v>219.03</v>
      </c>
      <c r="N44" s="109">
        <v>5.611</v>
      </c>
    </row>
    <row r="45" spans="10:14" ht="12.75">
      <c r="J45" s="127" t="s">
        <v>136</v>
      </c>
      <c r="K45" s="128" t="s">
        <v>91</v>
      </c>
      <c r="L45" s="129">
        <v>259.73</v>
      </c>
      <c r="M45" s="130">
        <v>273.05</v>
      </c>
      <c r="N45" s="109">
        <v>8.971</v>
      </c>
    </row>
    <row r="46" spans="1:14" ht="29.25" customHeight="1" thickBot="1">
      <c r="A46" s="278" t="s">
        <v>189</v>
      </c>
      <c r="B46" s="278"/>
      <c r="C46" s="278"/>
      <c r="D46" s="278"/>
      <c r="E46" s="278"/>
      <c r="F46" s="278"/>
      <c r="G46" s="278"/>
      <c r="H46" s="198"/>
      <c r="J46" s="127" t="s">
        <v>137</v>
      </c>
      <c r="K46" s="128" t="s">
        <v>91</v>
      </c>
      <c r="L46" s="129">
        <v>308.05</v>
      </c>
      <c r="M46" s="130">
        <v>323.85</v>
      </c>
      <c r="N46" s="109">
        <v>12.688</v>
      </c>
    </row>
    <row r="47" spans="1:14" ht="29.25" customHeight="1" thickBot="1">
      <c r="A47" s="297" t="s">
        <v>182</v>
      </c>
      <c r="B47" s="298"/>
      <c r="C47" s="298"/>
      <c r="D47" s="299"/>
      <c r="J47" s="127" t="s">
        <v>138</v>
      </c>
      <c r="K47" s="128" t="s">
        <v>91</v>
      </c>
      <c r="L47" s="129">
        <v>338.28</v>
      </c>
      <c r="M47" s="130">
        <v>355.6</v>
      </c>
      <c r="N47" s="109">
        <v>14.65</v>
      </c>
    </row>
    <row r="48" spans="1:14" ht="29.25" customHeight="1">
      <c r="A48" s="153" t="s">
        <v>83</v>
      </c>
      <c r="B48" s="154"/>
      <c r="C48" s="81" t="s">
        <v>186</v>
      </c>
      <c r="D48" s="89">
        <v>2200</v>
      </c>
      <c r="J48" s="127" t="s">
        <v>139</v>
      </c>
      <c r="K48" s="128" t="s">
        <v>91</v>
      </c>
      <c r="L48" s="129">
        <v>386.58</v>
      </c>
      <c r="M48" s="130">
        <v>404.4</v>
      </c>
      <c r="N48" s="109">
        <v>19.22</v>
      </c>
    </row>
    <row r="49" spans="1:21" ht="15.75">
      <c r="A49" s="326" t="s">
        <v>85</v>
      </c>
      <c r="B49" s="280"/>
      <c r="C49" s="81" t="s">
        <v>186</v>
      </c>
      <c r="D49" s="88">
        <v>1000</v>
      </c>
      <c r="J49" s="127" t="s">
        <v>140</v>
      </c>
      <c r="K49" s="128" t="s">
        <v>91</v>
      </c>
      <c r="L49" s="129">
        <v>434.9</v>
      </c>
      <c r="M49" s="130">
        <v>457.2</v>
      </c>
      <c r="N49" s="109">
        <v>24.63</v>
      </c>
      <c r="U49" s="246"/>
    </row>
    <row r="50" spans="1:14" ht="12.75">
      <c r="A50" s="151" t="s">
        <v>88</v>
      </c>
      <c r="B50" s="152"/>
      <c r="C50" s="81" t="s">
        <v>36</v>
      </c>
      <c r="D50" s="238"/>
      <c r="J50" s="127" t="s">
        <v>141</v>
      </c>
      <c r="K50" s="128" t="s">
        <v>91</v>
      </c>
      <c r="L50" s="129">
        <v>484.2</v>
      </c>
      <c r="M50" s="130">
        <v>508</v>
      </c>
      <c r="N50" s="109">
        <v>30.43</v>
      </c>
    </row>
    <row r="51" spans="1:14" ht="13.5" thickBot="1">
      <c r="A51" s="151" t="s">
        <v>82</v>
      </c>
      <c r="B51" s="152"/>
      <c r="C51" s="81" t="s">
        <v>81</v>
      </c>
      <c r="D51" s="238"/>
      <c r="J51" s="137" t="s">
        <v>142</v>
      </c>
      <c r="K51" s="138" t="s">
        <v>91</v>
      </c>
      <c r="L51" s="139">
        <v>579.88</v>
      </c>
      <c r="M51" s="140">
        <v>609.6</v>
      </c>
      <c r="N51" s="109">
        <v>42.28</v>
      </c>
    </row>
    <row r="52" spans="1:14" ht="15.75">
      <c r="A52" s="151" t="s">
        <v>84</v>
      </c>
      <c r="B52" s="152"/>
      <c r="C52" s="81" t="s">
        <v>43</v>
      </c>
      <c r="D52" s="88">
        <f>+E12</f>
        <v>30.22</v>
      </c>
      <c r="E52" s="61"/>
      <c r="J52" s="142" t="s">
        <v>143</v>
      </c>
      <c r="K52" s="103" t="s">
        <v>91</v>
      </c>
      <c r="L52" s="103">
        <v>108.06</v>
      </c>
      <c r="M52" s="103">
        <v>114.3</v>
      </c>
      <c r="N52" s="103">
        <v>1.54</v>
      </c>
    </row>
    <row r="53" spans="1:14" ht="41.25" customHeight="1">
      <c r="A53" s="287" t="s">
        <v>86</v>
      </c>
      <c r="B53" s="288"/>
      <c r="C53" s="80" t="s">
        <v>43</v>
      </c>
      <c r="D53" s="238"/>
      <c r="J53" s="143" t="s">
        <v>144</v>
      </c>
      <c r="K53" s="109" t="s">
        <v>91</v>
      </c>
      <c r="L53" s="109">
        <v>159.04</v>
      </c>
      <c r="M53" s="109">
        <v>168.28</v>
      </c>
      <c r="N53" s="109">
        <v>3.35</v>
      </c>
    </row>
    <row r="54" spans="1:14" ht="14.25">
      <c r="A54" s="82" t="s">
        <v>184</v>
      </c>
      <c r="B54" s="83"/>
      <c r="C54" s="80" t="s">
        <v>187</v>
      </c>
      <c r="D54" s="87">
        <f>IF(D12="","",PI()*((D12)^2)/4)</f>
        <v>0.12844351298719411</v>
      </c>
      <c r="J54" s="143" t="s">
        <v>145</v>
      </c>
      <c r="K54" s="109" t="s">
        <v>91</v>
      </c>
      <c r="L54" s="109">
        <v>207.1</v>
      </c>
      <c r="M54" s="109">
        <v>219.08</v>
      </c>
      <c r="N54" s="109">
        <v>5.65</v>
      </c>
    </row>
    <row r="55" spans="1:14" ht="28.5" customHeight="1" thickBot="1">
      <c r="A55" s="201" t="s">
        <v>208</v>
      </c>
      <c r="B55" s="84"/>
      <c r="C55" s="85" t="s">
        <v>87</v>
      </c>
      <c r="D55" s="236">
        <f>IF(A12="","",(D50*(D51*D54*D49-D52-D53))/(1-D51*(D49/D48)))</f>
        <v>0</v>
      </c>
      <c r="J55" s="143" t="s">
        <v>146</v>
      </c>
      <c r="K55" s="109" t="s">
        <v>91</v>
      </c>
      <c r="L55" s="109">
        <v>258.07</v>
      </c>
      <c r="M55" s="109">
        <v>273.05</v>
      </c>
      <c r="N55" s="109">
        <v>8.81</v>
      </c>
    </row>
    <row r="56" spans="10:14" ht="12.75">
      <c r="J56" s="143" t="s">
        <v>147</v>
      </c>
      <c r="K56" s="109" t="s">
        <v>91</v>
      </c>
      <c r="L56" s="109">
        <v>306.13</v>
      </c>
      <c r="M56" s="109">
        <v>323.85</v>
      </c>
      <c r="N56" s="109">
        <v>12.36</v>
      </c>
    </row>
    <row r="57" spans="1:14" ht="13.5" customHeight="1" thickBot="1">
      <c r="A57" s="281" t="s">
        <v>210</v>
      </c>
      <c r="B57" s="282">
        <f>+IF(OR(D55="",C29=""),"",IF(D55&lt;1.1*C29,"Peso del lastre insuficiente, aumentar FSF ó distancia entre lastres","Peso del lastre correcto"))</f>
      </c>
      <c r="C57" s="282"/>
      <c r="D57" s="282"/>
      <c r="J57" s="144" t="s">
        <v>148</v>
      </c>
      <c r="K57" s="120" t="s">
        <v>91</v>
      </c>
      <c r="L57" s="120">
        <v>336.1</v>
      </c>
      <c r="M57" s="120">
        <v>355.6</v>
      </c>
      <c r="N57" s="120">
        <v>16.02</v>
      </c>
    </row>
    <row r="58" spans="1:14" ht="12.75">
      <c r="A58" s="281"/>
      <c r="B58" s="282"/>
      <c r="C58" s="282"/>
      <c r="D58" s="282"/>
      <c r="J58" s="145" t="s">
        <v>149</v>
      </c>
      <c r="K58" s="124" t="s">
        <v>91</v>
      </c>
      <c r="L58" s="124">
        <v>109.26</v>
      </c>
      <c r="M58" s="124">
        <v>114.3</v>
      </c>
      <c r="N58" s="103">
        <v>1.25</v>
      </c>
    </row>
    <row r="59" spans="10:14" ht="13.5" thickBot="1">
      <c r="J59" s="146" t="s">
        <v>150</v>
      </c>
      <c r="K59" s="129" t="s">
        <v>91</v>
      </c>
      <c r="L59" s="129">
        <v>160.86</v>
      </c>
      <c r="M59" s="129">
        <v>168.28</v>
      </c>
      <c r="N59" s="109">
        <v>2.7</v>
      </c>
    </row>
    <row r="60" spans="1:14" ht="12.75">
      <c r="A60" s="284" t="s">
        <v>183</v>
      </c>
      <c r="B60" s="285"/>
      <c r="C60" s="285"/>
      <c r="D60" s="286"/>
      <c r="J60" s="146" t="s">
        <v>151</v>
      </c>
      <c r="K60" s="129" t="s">
        <v>91</v>
      </c>
      <c r="L60" s="129">
        <v>209.42</v>
      </c>
      <c r="M60" s="129">
        <v>219.08</v>
      </c>
      <c r="N60" s="109">
        <v>4.58</v>
      </c>
    </row>
    <row r="61" spans="1:14" ht="14.25">
      <c r="A61" s="279" t="s">
        <v>89</v>
      </c>
      <c r="B61" s="280"/>
      <c r="C61" s="192" t="s">
        <v>185</v>
      </c>
      <c r="D61" s="87">
        <f>IF(A12="","",D55/D48)</f>
        <v>0</v>
      </c>
      <c r="J61" s="146" t="s">
        <v>152</v>
      </c>
      <c r="K61" s="129" t="s">
        <v>91</v>
      </c>
      <c r="L61" s="129">
        <v>261.01</v>
      </c>
      <c r="M61" s="129">
        <v>273.05</v>
      </c>
      <c r="N61" s="109">
        <v>7.12</v>
      </c>
    </row>
    <row r="62" spans="1:14" ht="12.75">
      <c r="A62" s="256" t="s">
        <v>192</v>
      </c>
      <c r="B62" s="257"/>
      <c r="C62" s="192" t="s">
        <v>36</v>
      </c>
      <c r="D62" s="88">
        <f>IF(A26="","",D12+0.4)</f>
        <v>0.8044</v>
      </c>
      <c r="J62" s="146" t="s">
        <v>153</v>
      </c>
      <c r="K62" s="129" t="s">
        <v>91</v>
      </c>
      <c r="L62" s="129">
        <v>309.57</v>
      </c>
      <c r="M62" s="129">
        <v>323.85</v>
      </c>
      <c r="N62" s="109">
        <v>10.02</v>
      </c>
    </row>
    <row r="63" spans="1:14" ht="13.5" thickBot="1">
      <c r="A63" s="279" t="s">
        <v>191</v>
      </c>
      <c r="B63" s="280"/>
      <c r="C63" s="192" t="s">
        <v>36</v>
      </c>
      <c r="D63" s="88">
        <f>IF(A12="","",D12+0.3)</f>
        <v>0.7043999999999999</v>
      </c>
      <c r="J63" s="147" t="s">
        <v>154</v>
      </c>
      <c r="K63" s="139" t="s">
        <v>91</v>
      </c>
      <c r="L63" s="139">
        <v>339.9</v>
      </c>
      <c r="M63" s="139">
        <v>355.6</v>
      </c>
      <c r="N63" s="120">
        <v>13.18</v>
      </c>
    </row>
    <row r="64" spans="1:11" ht="13.5" thickBot="1">
      <c r="A64" s="245" t="s">
        <v>198</v>
      </c>
      <c r="B64" s="193"/>
      <c r="C64" s="86" t="s">
        <v>36</v>
      </c>
      <c r="D64" s="237">
        <f>IF(A26="","",D61/(D63*D62))</f>
        <v>0</v>
      </c>
      <c r="E64" s="224"/>
      <c r="F64" s="224"/>
      <c r="G64" s="224"/>
      <c r="J64"/>
      <c r="K64"/>
    </row>
    <row r="65" spans="5:16" ht="13.5" thickBot="1">
      <c r="E65" s="224"/>
      <c r="F65" s="224"/>
      <c r="G65" s="224"/>
      <c r="J65" s="322" t="s">
        <v>69</v>
      </c>
      <c r="K65" s="323"/>
      <c r="L65" s="323"/>
      <c r="M65" s="323"/>
      <c r="N65" s="323"/>
      <c r="O65" s="324"/>
      <c r="P65" s="159"/>
    </row>
    <row r="66" spans="1:19" ht="31.5" customHeight="1" thickBot="1">
      <c r="A66" s="263" t="s">
        <v>194</v>
      </c>
      <c r="B66" s="224"/>
      <c r="C66" s="224"/>
      <c r="D66" s="224"/>
      <c r="J66" s="196" t="s">
        <v>179</v>
      </c>
      <c r="K66" s="166"/>
      <c r="L66" s="166"/>
      <c r="M66" s="167"/>
      <c r="N66" s="195" t="s">
        <v>178</v>
      </c>
      <c r="O66" s="176" t="s">
        <v>180</v>
      </c>
      <c r="P66" s="159"/>
      <c r="Q66" s="327"/>
      <c r="R66" s="327"/>
      <c r="S66" s="327"/>
    </row>
    <row r="67" spans="1:19" ht="13.5" customHeight="1">
      <c r="A67" s="224"/>
      <c r="B67" s="224"/>
      <c r="C67" s="224"/>
      <c r="D67" s="224"/>
      <c r="J67" s="168" t="s">
        <v>170</v>
      </c>
      <c r="K67" s="169"/>
      <c r="L67" s="169"/>
      <c r="M67" s="170"/>
      <c r="N67" s="177">
        <v>0.1924</v>
      </c>
      <c r="O67" s="178">
        <v>1682</v>
      </c>
      <c r="P67" s="159"/>
      <c r="Q67" s="187"/>
      <c r="R67" s="188"/>
      <c r="S67" s="164"/>
    </row>
    <row r="68" spans="10:19" ht="12.75">
      <c r="J68" s="171" t="s">
        <v>171</v>
      </c>
      <c r="K68" s="149"/>
      <c r="L68" s="149"/>
      <c r="M68" s="172"/>
      <c r="N68" s="179">
        <v>0.165</v>
      </c>
      <c r="O68" s="180">
        <v>1602</v>
      </c>
      <c r="P68" s="159"/>
      <c r="Q68" s="189"/>
      <c r="R68" s="189"/>
      <c r="S68" s="189"/>
    </row>
    <row r="69" spans="10:19" ht="12.75">
      <c r="J69" s="171" t="s">
        <v>172</v>
      </c>
      <c r="K69" s="149"/>
      <c r="L69" s="149"/>
      <c r="M69" s="172"/>
      <c r="N69" s="179">
        <v>0.15</v>
      </c>
      <c r="O69" s="180">
        <v>1842</v>
      </c>
      <c r="P69" s="159"/>
      <c r="Q69" s="189"/>
      <c r="R69" s="189"/>
      <c r="S69" s="189"/>
    </row>
    <row r="70" spans="10:19" ht="12.75">
      <c r="J70" s="171" t="s">
        <v>173</v>
      </c>
      <c r="K70" s="149"/>
      <c r="L70" s="149"/>
      <c r="M70" s="172"/>
      <c r="N70" s="179">
        <v>0.11</v>
      </c>
      <c r="O70" s="180">
        <v>2082</v>
      </c>
      <c r="P70" s="159"/>
      <c r="Q70" s="189"/>
      <c r="R70" s="189"/>
      <c r="S70" s="189"/>
    </row>
    <row r="71" spans="10:19" ht="12.75">
      <c r="J71" s="171" t="s">
        <v>174</v>
      </c>
      <c r="K71" s="149"/>
      <c r="L71" s="149"/>
      <c r="M71" s="172"/>
      <c r="N71" s="179">
        <v>0.13</v>
      </c>
      <c r="O71" s="180">
        <v>1922</v>
      </c>
      <c r="P71" s="159"/>
      <c r="Q71" s="189"/>
      <c r="R71" s="189"/>
      <c r="S71" s="189"/>
    </row>
    <row r="72" spans="10:19" ht="12.75">
      <c r="J72" s="171" t="s">
        <v>175</v>
      </c>
      <c r="K72" s="149"/>
      <c r="L72" s="149"/>
      <c r="M72" s="172"/>
      <c r="N72" s="181">
        <v>0.165</v>
      </c>
      <c r="O72" s="180">
        <v>1922</v>
      </c>
      <c r="P72" s="159"/>
      <c r="Q72" s="189"/>
      <c r="R72" s="189"/>
      <c r="S72" s="189"/>
    </row>
    <row r="73" spans="10:19" ht="12.75">
      <c r="J73" s="171" t="s">
        <v>176</v>
      </c>
      <c r="K73" s="149"/>
      <c r="L73" s="149"/>
      <c r="M73" s="172"/>
      <c r="N73" s="182">
        <v>0.165</v>
      </c>
      <c r="O73" s="180">
        <v>1842</v>
      </c>
      <c r="P73" s="159"/>
      <c r="Q73" s="190"/>
      <c r="R73" s="190"/>
      <c r="S73" s="189"/>
    </row>
    <row r="74" spans="10:19" ht="13.5" thickBot="1">
      <c r="J74" s="173" t="s">
        <v>177</v>
      </c>
      <c r="K74" s="174"/>
      <c r="L74" s="174"/>
      <c r="M74" s="175"/>
      <c r="N74" s="183">
        <v>0.165</v>
      </c>
      <c r="O74" s="184">
        <v>1602</v>
      </c>
      <c r="P74" s="159"/>
      <c r="Q74" s="189"/>
      <c r="R74" s="189"/>
      <c r="S74" s="189"/>
    </row>
    <row r="75" spans="10:19" ht="12.75">
      <c r="J75" s="159"/>
      <c r="K75" s="159"/>
      <c r="L75" s="159"/>
      <c r="M75" s="159"/>
      <c r="N75" s="159"/>
      <c r="O75" s="159"/>
      <c r="P75" s="159"/>
      <c r="Q75" s="189"/>
      <c r="R75" s="189"/>
      <c r="S75" s="189"/>
    </row>
    <row r="76" spans="10:19" ht="12.75">
      <c r="J76" s="159"/>
      <c r="K76" s="159"/>
      <c r="L76" s="159"/>
      <c r="M76" s="159"/>
      <c r="N76" s="159"/>
      <c r="O76" s="159"/>
      <c r="P76" s="159"/>
      <c r="Q76" s="189"/>
      <c r="R76" s="189"/>
      <c r="S76" s="189"/>
    </row>
    <row r="77" spans="10:16" ht="12.75">
      <c r="J77" s="159"/>
      <c r="K77" s="159"/>
      <c r="L77" s="159"/>
      <c r="M77" s="159"/>
      <c r="N77" s="159"/>
      <c r="O77" s="159"/>
      <c r="P77" s="159"/>
    </row>
    <row r="78" spans="10:16" ht="12.75">
      <c r="J78" s="159"/>
      <c r="K78" s="159"/>
      <c r="L78" s="159"/>
      <c r="M78" s="159"/>
      <c r="N78" s="159"/>
      <c r="O78" s="159"/>
      <c r="P78" s="159"/>
    </row>
  </sheetData>
  <sheetProtection/>
  <mergeCells count="32">
    <mergeCell ref="A14:D14"/>
    <mergeCell ref="A15:B15"/>
    <mergeCell ref="C15:D15"/>
    <mergeCell ref="C2:E2"/>
    <mergeCell ref="C3:E3"/>
    <mergeCell ref="A30:B30"/>
    <mergeCell ref="A31:B31"/>
    <mergeCell ref="D31:F31"/>
    <mergeCell ref="A24:D24"/>
    <mergeCell ref="A25:B25"/>
    <mergeCell ref="A26:B26"/>
    <mergeCell ref="E26:G27"/>
    <mergeCell ref="Q66:S66"/>
    <mergeCell ref="A60:D60"/>
    <mergeCell ref="J2:N2"/>
    <mergeCell ref="J3:K4"/>
    <mergeCell ref="C41:E41"/>
    <mergeCell ref="C42:E42"/>
    <mergeCell ref="A28:D28"/>
    <mergeCell ref="A29:B29"/>
    <mergeCell ref="A53:B53"/>
    <mergeCell ref="A47:D47"/>
    <mergeCell ref="B57:D58"/>
    <mergeCell ref="A57:A58"/>
    <mergeCell ref="J65:O65"/>
    <mergeCell ref="A33:D33"/>
    <mergeCell ref="A34:B34"/>
    <mergeCell ref="A46:G46"/>
    <mergeCell ref="A36:G36"/>
    <mergeCell ref="A61:B61"/>
    <mergeCell ref="A49:B49"/>
    <mergeCell ref="A63:B63"/>
  </mergeCells>
  <dataValidations count="4">
    <dataValidation operator="lessThan" allowBlank="1" showInputMessage="1" showErrorMessage="1" error="AAAA" sqref="D31"/>
    <dataValidation type="list" allowBlank="1" showInputMessage="1" showErrorMessage="1" sqref="A12">
      <formula1>$J$5:$J$63</formula1>
    </dataValidation>
    <dataValidation type="list" allowBlank="1" showInputMessage="1" showErrorMessage="1" sqref="A26:B26">
      <formula1>$J$67:$J$74</formula1>
    </dataValidation>
    <dataValidation type="decimal" operator="greaterThan" allowBlank="1" showInputMessage="1" showErrorMessage="1" errorTitle="DISEÑO DEL LASTRE" error="AUMENTAR FACTOR DE SEGURIDAD (FSF) Ó AUMENTAR DISTANCIA ENTRE LASTRES" sqref="D55">
      <formula1>C29</formula1>
    </dataValidation>
  </dataValidations>
  <printOptions/>
  <pageMargins left="0.75" right="0.75" top="1" bottom="1" header="0" footer="0"/>
  <pageSetup horizontalDpi="600" verticalDpi="600" orientation="portrait" scale="88" r:id="rId4"/>
  <rowBreaks count="1" manualBreakCount="1">
    <brk id="37" max="7" man="1"/>
  </rowBreaks>
  <drawing r:id="rId3"/>
  <legacyDrawing r:id="rId2"/>
  <oleObjects>
    <oleObject progId="Equation.DSMT4" shapeId="3888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T75"/>
  <sheetViews>
    <sheetView view="pageBreakPreview" zoomScaleSheetLayoutView="100" zoomScalePageLayoutView="0" workbookViewId="0" topLeftCell="A1">
      <selection activeCell="J6" sqref="J6"/>
    </sheetView>
  </sheetViews>
  <sheetFormatPr defaultColWidth="11.421875" defaultRowHeight="12.75"/>
  <cols>
    <col min="1" max="1" width="22.00390625" style="37" customWidth="1"/>
    <col min="2" max="2" width="14.57421875" style="37" customWidth="1"/>
    <col min="3" max="3" width="16.28125" style="37" customWidth="1"/>
    <col min="4" max="4" width="13.421875" style="37" customWidth="1"/>
    <col min="5" max="5" width="12.7109375" style="37" customWidth="1"/>
    <col min="6" max="7" width="11.421875" style="37" customWidth="1"/>
    <col min="8" max="8" width="1.7109375" style="37" customWidth="1"/>
    <col min="9" max="9" width="11.421875" style="37" customWidth="1"/>
    <col min="10" max="10" width="18.7109375" style="0" hidden="1" customWidth="1"/>
    <col min="11" max="15" width="11.421875" style="0" hidden="1" customWidth="1"/>
    <col min="16" max="16" width="0" style="0" hidden="1" customWidth="1"/>
    <col min="20" max="20" width="12.28125" style="0" bestFit="1" customWidth="1"/>
  </cols>
  <sheetData>
    <row r="1" spans="1:8" ht="12.75">
      <c r="A1" s="38"/>
      <c r="B1" s="39"/>
      <c r="C1" s="39"/>
      <c r="D1" s="39"/>
      <c r="E1" s="39"/>
      <c r="F1" s="39"/>
      <c r="G1" s="39"/>
      <c r="H1" s="40"/>
    </row>
    <row r="2" spans="1:8" ht="12.75">
      <c r="A2" s="41"/>
      <c r="B2" s="42"/>
      <c r="C2" s="277" t="s">
        <v>57</v>
      </c>
      <c r="D2" s="277"/>
      <c r="E2" s="277"/>
      <c r="F2" s="42"/>
      <c r="G2" s="42"/>
      <c r="H2" s="43"/>
    </row>
    <row r="3" spans="1:9" ht="12.75">
      <c r="A3" s="44"/>
      <c r="B3" s="42"/>
      <c r="C3" s="277" t="s">
        <v>253</v>
      </c>
      <c r="D3" s="277"/>
      <c r="E3" s="277"/>
      <c r="F3" s="53"/>
      <c r="G3" s="42"/>
      <c r="H3" s="43"/>
      <c r="I3" s="42"/>
    </row>
    <row r="4" spans="1:9" ht="13.5" thickBot="1">
      <c r="A4" s="45"/>
      <c r="B4" s="46"/>
      <c r="C4" s="46"/>
      <c r="D4" s="46"/>
      <c r="E4" s="46"/>
      <c r="F4" s="46"/>
      <c r="G4" s="46"/>
      <c r="H4" s="47"/>
      <c r="I4" s="52" t="s">
        <v>56</v>
      </c>
    </row>
    <row r="5" spans="7:9" ht="12.75">
      <c r="G5" s="54" t="s">
        <v>58</v>
      </c>
      <c r="H5" s="54"/>
      <c r="I5" s="42"/>
    </row>
    <row r="6" spans="1:9" ht="12.75">
      <c r="A6" s="56" t="s">
        <v>77</v>
      </c>
      <c r="B6" s="58"/>
      <c r="C6" s="58"/>
      <c r="D6" s="42"/>
      <c r="E6" s="42"/>
      <c r="F6" s="42"/>
      <c r="I6" s="42"/>
    </row>
    <row r="7" spans="1:3" ht="13.5" thickBot="1">
      <c r="A7" s="56" t="s">
        <v>78</v>
      </c>
      <c r="B7" s="59"/>
      <c r="C7" s="59"/>
    </row>
    <row r="8" spans="1:15" ht="13.5" thickBot="1">
      <c r="A8" s="56" t="s">
        <v>79</v>
      </c>
      <c r="B8" s="59"/>
      <c r="C8" s="59"/>
      <c r="D8" s="60" t="s">
        <v>80</v>
      </c>
      <c r="E8" s="58"/>
      <c r="F8" s="58"/>
      <c r="J8" s="311" t="s">
        <v>92</v>
      </c>
      <c r="K8" s="312"/>
      <c r="L8" s="312"/>
      <c r="M8" s="312"/>
      <c r="N8" s="313"/>
      <c r="O8" s="141"/>
    </row>
    <row r="9" spans="10:14" ht="15.75" customHeight="1" thickBot="1">
      <c r="J9" s="328" t="s">
        <v>1</v>
      </c>
      <c r="K9" s="329"/>
      <c r="L9" s="94" t="s">
        <v>2</v>
      </c>
      <c r="M9" s="94" t="s">
        <v>2</v>
      </c>
      <c r="N9" s="96" t="s">
        <v>34</v>
      </c>
    </row>
    <row r="10" spans="1:14" ht="30" customHeight="1" thickBot="1">
      <c r="A10" s="71" t="s">
        <v>47</v>
      </c>
      <c r="C10" s="65" t="s">
        <v>45</v>
      </c>
      <c r="D10" s="66" t="s">
        <v>46</v>
      </c>
      <c r="E10" s="67" t="s">
        <v>34</v>
      </c>
      <c r="J10" s="330"/>
      <c r="K10" s="331"/>
      <c r="L10" s="97" t="s">
        <v>40</v>
      </c>
      <c r="M10" s="98" t="s">
        <v>93</v>
      </c>
      <c r="N10" s="100" t="s">
        <v>41</v>
      </c>
    </row>
    <row r="11" spans="1:14" ht="16.5" customHeight="1" thickBot="1">
      <c r="A11" s="72" t="s">
        <v>44</v>
      </c>
      <c r="C11" s="68" t="s">
        <v>44</v>
      </c>
      <c r="D11" s="69" t="s">
        <v>36</v>
      </c>
      <c r="E11" s="70" t="s">
        <v>43</v>
      </c>
      <c r="J11" s="101" t="s">
        <v>220</v>
      </c>
      <c r="K11" s="102" t="s">
        <v>9</v>
      </c>
      <c r="L11" s="103">
        <v>46</v>
      </c>
      <c r="M11" s="104">
        <v>50</v>
      </c>
      <c r="N11" s="106">
        <v>0.31</v>
      </c>
    </row>
    <row r="12" spans="1:14" ht="13.5" thickBot="1">
      <c r="A12" s="244"/>
      <c r="C12" s="62">
        <f>IF($A$12="","",VLOOKUP($A$12,$J$11:$N$63,3,FALSE))</f>
      </c>
      <c r="D12" s="197">
        <f>IF($A$12="","",VLOOKUP($A$12,$J$11:$N$63,4,FALSE)/1000)</f>
      </c>
      <c r="E12" s="62">
        <f>IF($A$12="","",VLOOKUP($A$12,$J$11:$N$63,5,FALSE))</f>
      </c>
      <c r="J12" s="107" t="s">
        <v>221</v>
      </c>
      <c r="K12" s="108" t="s">
        <v>9</v>
      </c>
      <c r="L12" s="109">
        <v>58</v>
      </c>
      <c r="M12" s="110">
        <v>63</v>
      </c>
      <c r="N12" s="112">
        <v>0.49</v>
      </c>
    </row>
    <row r="13" spans="10:14" ht="13.5" thickBot="1">
      <c r="J13" s="107" t="s">
        <v>222</v>
      </c>
      <c r="K13" s="108" t="s">
        <v>9</v>
      </c>
      <c r="L13" s="109">
        <v>69.2</v>
      </c>
      <c r="M13" s="110">
        <v>75</v>
      </c>
      <c r="N13" s="112">
        <v>0.68</v>
      </c>
    </row>
    <row r="14" spans="1:14" ht="13.5" thickBot="1">
      <c r="A14" s="292" t="s">
        <v>60</v>
      </c>
      <c r="B14" s="293"/>
      <c r="C14" s="293"/>
      <c r="D14" s="294"/>
      <c r="J14" s="107" t="s">
        <v>223</v>
      </c>
      <c r="K14" s="108" t="s">
        <v>9</v>
      </c>
      <c r="L14" s="109">
        <v>83</v>
      </c>
      <c r="M14" s="110">
        <v>90</v>
      </c>
      <c r="N14" s="112">
        <v>0.98</v>
      </c>
    </row>
    <row r="15" spans="1:14" ht="12.75">
      <c r="A15" s="284" t="s">
        <v>61</v>
      </c>
      <c r="B15" s="285"/>
      <c r="C15" s="284" t="s">
        <v>64</v>
      </c>
      <c r="D15" s="286"/>
      <c r="J15" s="107" t="s">
        <v>224</v>
      </c>
      <c r="K15" s="108" t="s">
        <v>9</v>
      </c>
      <c r="L15" s="109">
        <v>101.6</v>
      </c>
      <c r="M15" s="110">
        <v>110</v>
      </c>
      <c r="N15" s="112">
        <v>1.44</v>
      </c>
    </row>
    <row r="16" spans="1:14" ht="12.75">
      <c r="A16" s="73" t="s">
        <v>62</v>
      </c>
      <c r="B16" s="74" t="s">
        <v>63</v>
      </c>
      <c r="C16" s="73" t="s">
        <v>62</v>
      </c>
      <c r="D16" s="75" t="s">
        <v>63</v>
      </c>
      <c r="J16" s="107" t="s">
        <v>225</v>
      </c>
      <c r="K16" s="108" t="s">
        <v>9</v>
      </c>
      <c r="L16" s="109">
        <v>147.6</v>
      </c>
      <c r="M16" s="110">
        <v>160</v>
      </c>
      <c r="N16" s="112">
        <v>3.09</v>
      </c>
    </row>
    <row r="17" spans="1:14" ht="13.5" thickBot="1">
      <c r="A17" s="240"/>
      <c r="B17" s="241"/>
      <c r="C17" s="240"/>
      <c r="D17" s="242"/>
      <c r="J17" s="107" t="s">
        <v>226</v>
      </c>
      <c r="K17" s="108" t="s">
        <v>9</v>
      </c>
      <c r="L17" s="109">
        <v>184.6</v>
      </c>
      <c r="M17" s="110">
        <v>200</v>
      </c>
      <c r="N17" s="112">
        <v>4.8</v>
      </c>
    </row>
    <row r="18" spans="1:14" ht="13.5" thickBot="1">
      <c r="A18" s="55"/>
      <c r="B18" s="55"/>
      <c r="C18" s="55"/>
      <c r="D18" s="55"/>
      <c r="J18" s="107" t="s">
        <v>227</v>
      </c>
      <c r="K18" s="108" t="s">
        <v>9</v>
      </c>
      <c r="L18" s="109">
        <v>230.8</v>
      </c>
      <c r="M18" s="110">
        <v>250</v>
      </c>
      <c r="N18" s="112">
        <v>7.49</v>
      </c>
    </row>
    <row r="19" spans="1:14" ht="12.75">
      <c r="A19" s="76" t="s">
        <v>167</v>
      </c>
      <c r="B19" s="239"/>
      <c r="C19" s="55"/>
      <c r="D19" s="55"/>
      <c r="J19" s="107" t="s">
        <v>228</v>
      </c>
      <c r="K19" s="108" t="s">
        <v>9</v>
      </c>
      <c r="L19" s="109">
        <v>290.8</v>
      </c>
      <c r="M19" s="110">
        <v>315</v>
      </c>
      <c r="N19" s="112">
        <v>11.89</v>
      </c>
    </row>
    <row r="20" spans="1:14" ht="12.75">
      <c r="A20" s="77" t="s">
        <v>65</v>
      </c>
      <c r="B20" s="88">
        <f>IF(A12="","",IF(C17="","",(MIN(C17:D17)-MIN(A17:B17))+D12))</f>
      </c>
      <c r="J20" s="107" t="s">
        <v>229</v>
      </c>
      <c r="K20" s="108" t="s">
        <v>9</v>
      </c>
      <c r="L20" s="109">
        <v>327.8</v>
      </c>
      <c r="M20" s="110">
        <v>355</v>
      </c>
      <c r="N20" s="112">
        <v>15.06</v>
      </c>
    </row>
    <row r="21" spans="1:14" ht="14.25" customHeight="1" thickBot="1">
      <c r="A21" s="77" t="s">
        <v>66</v>
      </c>
      <c r="B21" s="260">
        <f>IF(B20="","",IF(B20-B19&gt;B20,"Terreno inundado",B20-D12-B22))</f>
      </c>
      <c r="J21" s="117" t="s">
        <v>230</v>
      </c>
      <c r="K21" s="118" t="s">
        <v>9</v>
      </c>
      <c r="L21" s="120">
        <v>369.4</v>
      </c>
      <c r="M21" s="119">
        <v>400</v>
      </c>
      <c r="N21" s="150">
        <v>19.09</v>
      </c>
    </row>
    <row r="22" spans="1:14" ht="13.5" thickBot="1">
      <c r="A22" s="78" t="s">
        <v>67</v>
      </c>
      <c r="B22" s="261">
        <f>IF(B20="","",IF(B20-B19&lt;D12,0,B20-B19-D12))</f>
      </c>
      <c r="J22" s="101" t="s">
        <v>231</v>
      </c>
      <c r="K22" s="102" t="s">
        <v>9</v>
      </c>
      <c r="L22" s="103">
        <v>45.2</v>
      </c>
      <c r="M22" s="104">
        <v>50</v>
      </c>
      <c r="N22" s="106">
        <v>0.37</v>
      </c>
    </row>
    <row r="23" spans="10:14" ht="13.5" thickBot="1">
      <c r="J23" s="107" t="s">
        <v>232</v>
      </c>
      <c r="K23" s="108" t="s">
        <v>9</v>
      </c>
      <c r="L23" s="109">
        <v>57</v>
      </c>
      <c r="M23" s="110">
        <v>63</v>
      </c>
      <c r="N23" s="112">
        <v>0.58</v>
      </c>
    </row>
    <row r="24" spans="1:14" ht="13.5" thickBot="1">
      <c r="A24" s="292" t="s">
        <v>68</v>
      </c>
      <c r="B24" s="293"/>
      <c r="C24" s="293"/>
      <c r="D24" s="294"/>
      <c r="J24" s="107" t="s">
        <v>233</v>
      </c>
      <c r="K24" s="108" t="s">
        <v>9</v>
      </c>
      <c r="L24" s="109">
        <v>67.86</v>
      </c>
      <c r="M24" s="110">
        <v>75</v>
      </c>
      <c r="N24" s="112">
        <v>0.83</v>
      </c>
    </row>
    <row r="25" spans="1:20" ht="57" customHeight="1">
      <c r="A25" s="303" t="s">
        <v>70</v>
      </c>
      <c r="B25" s="304"/>
      <c r="C25" s="79" t="s">
        <v>188</v>
      </c>
      <c r="D25" s="79" t="s">
        <v>207</v>
      </c>
      <c r="J25" s="107" t="s">
        <v>234</v>
      </c>
      <c r="K25" s="108" t="s">
        <v>9</v>
      </c>
      <c r="L25" s="109">
        <v>81.4</v>
      </c>
      <c r="M25" s="110">
        <v>90</v>
      </c>
      <c r="N25" s="112">
        <v>1.2</v>
      </c>
      <c r="P25" s="194"/>
      <c r="Q25" s="194"/>
      <c r="R25" s="194"/>
      <c r="S25" s="194"/>
      <c r="T25" s="149"/>
    </row>
    <row r="26" spans="1:20" ht="38.25" customHeight="1" thickBot="1">
      <c r="A26" s="316"/>
      <c r="B26" s="317"/>
      <c r="C26" s="93">
        <f>IF($A$26="","",VLOOKUP($A$26,$J$68:$O$75,6,FALSE))</f>
      </c>
      <c r="D26" s="191">
        <f>IF($A$26="","",1.1*VLOOKUP($A$26,$J$68:$O$75,6,FALSE))</f>
      </c>
      <c r="E26" s="295" t="s">
        <v>76</v>
      </c>
      <c r="F26" s="295"/>
      <c r="G26" s="295"/>
      <c r="H26" s="155"/>
      <c r="J26" s="107" t="s">
        <v>235</v>
      </c>
      <c r="K26" s="108" t="s">
        <v>9</v>
      </c>
      <c r="L26" s="109">
        <v>99.4</v>
      </c>
      <c r="M26" s="110">
        <v>110</v>
      </c>
      <c r="N26" s="112">
        <v>1.8</v>
      </c>
      <c r="P26" s="194"/>
      <c r="Q26" s="194"/>
      <c r="R26" s="194"/>
      <c r="S26" s="194"/>
      <c r="T26" s="149"/>
    </row>
    <row r="27" spans="5:20" ht="12.75">
      <c r="E27" s="295"/>
      <c r="F27" s="295"/>
      <c r="G27" s="295"/>
      <c r="H27" s="155"/>
      <c r="J27" s="107" t="s">
        <v>236</v>
      </c>
      <c r="K27" s="108" t="s">
        <v>9</v>
      </c>
      <c r="L27" s="109">
        <v>144.6</v>
      </c>
      <c r="M27" s="110">
        <v>160</v>
      </c>
      <c r="N27" s="112">
        <v>3.8</v>
      </c>
      <c r="P27" s="194"/>
      <c r="Q27" s="194"/>
      <c r="R27" s="194"/>
      <c r="S27" s="194"/>
      <c r="T27" s="149"/>
    </row>
    <row r="28" spans="1:20" ht="12.75">
      <c r="A28" s="321" t="s">
        <v>73</v>
      </c>
      <c r="B28" s="321"/>
      <c r="C28" s="321"/>
      <c r="D28" s="321"/>
      <c r="J28" s="107" t="s">
        <v>237</v>
      </c>
      <c r="K28" s="108" t="s">
        <v>9</v>
      </c>
      <c r="L28" s="109">
        <v>180.8</v>
      </c>
      <c r="M28" s="110">
        <v>200</v>
      </c>
      <c r="N28" s="112">
        <v>5.93</v>
      </c>
      <c r="P28" s="194"/>
      <c r="Q28" s="194"/>
      <c r="R28" s="194"/>
      <c r="S28" s="194"/>
      <c r="T28" s="149"/>
    </row>
    <row r="29" spans="1:20" ht="26.25" customHeight="1">
      <c r="A29" s="339" t="s">
        <v>71</v>
      </c>
      <c r="B29" s="339"/>
      <c r="C29" s="262">
        <f>IF(OR(A26="",B19=""),"",IF(B19&gt;0,PI()*(D12^2)/4*1000,"No hay N.F., tubería no flotará"))</f>
      </c>
      <c r="D29" s="80" t="s">
        <v>74</v>
      </c>
      <c r="J29" s="107" t="s">
        <v>238</v>
      </c>
      <c r="K29" s="108" t="s">
        <v>9</v>
      </c>
      <c r="L29" s="109">
        <v>226.2</v>
      </c>
      <c r="M29" s="110">
        <v>250</v>
      </c>
      <c r="N29" s="112">
        <v>9.19</v>
      </c>
      <c r="P29" s="194"/>
      <c r="Q29" s="194"/>
      <c r="R29" s="194"/>
      <c r="S29" s="194"/>
      <c r="T29" s="149"/>
    </row>
    <row r="30" spans="1:20" ht="33.75" customHeight="1">
      <c r="A30" s="339" t="s">
        <v>72</v>
      </c>
      <c r="B30" s="339"/>
      <c r="C30" s="90">
        <f>IF(OR(A26="",B21=""),"",IF(B21="Terreno inundado","",((D12)*((B21*C26)+(B22*D26)))+E12))</f>
      </c>
      <c r="D30" s="248" t="s">
        <v>74</v>
      </c>
      <c r="J30" s="107" t="s">
        <v>239</v>
      </c>
      <c r="K30" s="108" t="s">
        <v>9</v>
      </c>
      <c r="L30" s="109">
        <v>285</v>
      </c>
      <c r="M30" s="110">
        <v>315</v>
      </c>
      <c r="N30" s="112">
        <v>14.6</v>
      </c>
      <c r="P30" s="194"/>
      <c r="Q30" s="194"/>
      <c r="R30" s="194"/>
      <c r="S30" s="194"/>
      <c r="T30" s="149"/>
    </row>
    <row r="31" spans="1:20" ht="27" customHeight="1">
      <c r="A31" s="340" t="s">
        <v>75</v>
      </c>
      <c r="B31" s="340"/>
      <c r="C31" s="235">
        <f>IF(OR(A26="",C30=""),"",IF(C29="No hay N.F., tubería no flotará","",IF(B21="Terreno inundado","",C30/C29)))</f>
      </c>
      <c r="D31" s="296">
        <f>IF(A26="","",IF(C31="","",IF(C31&lt;1.1,"FSF incorrecto: Colocar atraques y/ó aumentar el relleno","FSF correcto")))</f>
      </c>
      <c r="E31" s="296"/>
      <c r="F31" s="296"/>
      <c r="J31" s="107" t="s">
        <v>240</v>
      </c>
      <c r="K31" s="108" t="s">
        <v>9</v>
      </c>
      <c r="L31" s="109">
        <v>321.2</v>
      </c>
      <c r="M31" s="110">
        <v>355</v>
      </c>
      <c r="N31" s="112">
        <v>18.54</v>
      </c>
      <c r="P31" s="194"/>
      <c r="Q31" s="194"/>
      <c r="R31" s="194"/>
      <c r="S31" s="194"/>
      <c r="T31" s="149"/>
    </row>
    <row r="32" spans="10:20" ht="13.5" thickBot="1">
      <c r="J32" s="117" t="s">
        <v>241</v>
      </c>
      <c r="K32" s="118" t="s">
        <v>9</v>
      </c>
      <c r="L32" s="120">
        <v>361.8</v>
      </c>
      <c r="M32" s="119">
        <v>400</v>
      </c>
      <c r="N32" s="150">
        <v>23.6</v>
      </c>
      <c r="P32" s="194"/>
      <c r="Q32" s="194"/>
      <c r="R32" s="194"/>
      <c r="S32" s="194"/>
      <c r="T32" s="149"/>
    </row>
    <row r="33" spans="1:20" ht="13.5" thickBot="1">
      <c r="A33" s="292" t="s">
        <v>90</v>
      </c>
      <c r="B33" s="293"/>
      <c r="C33" s="293"/>
      <c r="D33" s="294"/>
      <c r="J33" s="101" t="s">
        <v>155</v>
      </c>
      <c r="K33" s="102" t="s">
        <v>9</v>
      </c>
      <c r="L33" s="103">
        <v>55.4</v>
      </c>
      <c r="M33" s="104">
        <v>63</v>
      </c>
      <c r="N33" s="106">
        <v>0.74</v>
      </c>
      <c r="P33" s="194"/>
      <c r="Q33" s="194"/>
      <c r="R33" s="194"/>
      <c r="S33" s="194"/>
      <c r="T33" s="149"/>
    </row>
    <row r="34" spans="1:20" ht="21" customHeight="1" thickBot="1">
      <c r="A34" s="289" t="s">
        <v>181</v>
      </c>
      <c r="B34" s="290"/>
      <c r="C34" s="148" t="s">
        <v>36</v>
      </c>
      <c r="D34" s="247">
        <f>IF(A26="","",IF(OR(C29="No hay N.F., tubería no flotará",C29=""),"",((C29*1.1)/(D26*D12))))</f>
      </c>
      <c r="E34" s="156"/>
      <c r="F34" s="156"/>
      <c r="J34" s="107" t="s">
        <v>211</v>
      </c>
      <c r="K34" s="108" t="s">
        <v>9</v>
      </c>
      <c r="L34" s="109">
        <v>66.18</v>
      </c>
      <c r="M34" s="110">
        <v>75</v>
      </c>
      <c r="N34" s="112">
        <v>1.01</v>
      </c>
      <c r="O34" s="194"/>
      <c r="P34" s="194"/>
      <c r="Q34" s="194"/>
      <c r="R34" s="194"/>
      <c r="S34" s="194"/>
      <c r="T34" s="149"/>
    </row>
    <row r="35" spans="5:20" ht="13.5" customHeight="1">
      <c r="E35" s="156"/>
      <c r="F35" s="156"/>
      <c r="J35" s="107" t="s">
        <v>156</v>
      </c>
      <c r="K35" s="108" t="s">
        <v>9</v>
      </c>
      <c r="L35" s="109">
        <v>79.2</v>
      </c>
      <c r="M35" s="110">
        <v>90</v>
      </c>
      <c r="N35" s="112">
        <v>1.49</v>
      </c>
      <c r="O35" s="194"/>
      <c r="P35" s="194"/>
      <c r="Q35" s="194"/>
      <c r="R35" s="194"/>
      <c r="S35" s="194"/>
      <c r="T35" s="149"/>
    </row>
    <row r="36" spans="1:20" ht="13.5" customHeight="1">
      <c r="A36" s="309" t="s">
        <v>168</v>
      </c>
      <c r="B36" s="309"/>
      <c r="C36" s="309"/>
      <c r="D36" s="309"/>
      <c r="E36" s="309"/>
      <c r="F36" s="309"/>
      <c r="G36" s="309"/>
      <c r="J36" s="107" t="s">
        <v>157</v>
      </c>
      <c r="K36" s="108" t="s">
        <v>9</v>
      </c>
      <c r="L36" s="109">
        <v>96.8</v>
      </c>
      <c r="M36" s="110">
        <v>110</v>
      </c>
      <c r="N36" s="112">
        <v>2.2</v>
      </c>
      <c r="O36" s="194"/>
      <c r="P36" s="194"/>
      <c r="Q36" s="194"/>
      <c r="R36" s="194"/>
      <c r="S36" s="194"/>
      <c r="T36" s="149"/>
    </row>
    <row r="37" spans="1:20" ht="12.75">
      <c r="A37" s="309"/>
      <c r="B37" s="309"/>
      <c r="C37" s="309"/>
      <c r="D37" s="309"/>
      <c r="E37" s="309"/>
      <c r="F37" s="309"/>
      <c r="G37" s="309"/>
      <c r="J37" s="107" t="s">
        <v>158</v>
      </c>
      <c r="K37" s="108" t="s">
        <v>9</v>
      </c>
      <c r="L37" s="109">
        <v>141</v>
      </c>
      <c r="M37" s="110">
        <v>160</v>
      </c>
      <c r="N37" s="112">
        <v>4.57</v>
      </c>
      <c r="O37" s="149"/>
      <c r="P37" s="149"/>
      <c r="Q37" s="149"/>
      <c r="R37" s="149"/>
      <c r="S37" s="149"/>
      <c r="T37" s="149"/>
    </row>
    <row r="38" spans="1:14" ht="12.75">
      <c r="A38" s="57"/>
      <c r="J38" s="107" t="s">
        <v>159</v>
      </c>
      <c r="K38" s="108" t="s">
        <v>9</v>
      </c>
      <c r="L38" s="109">
        <v>176.2</v>
      </c>
      <c r="M38" s="110">
        <v>200</v>
      </c>
      <c r="N38" s="112">
        <v>7.13</v>
      </c>
    </row>
    <row r="39" spans="1:14" ht="12.75">
      <c r="A39" s="57"/>
      <c r="J39" s="107" t="s">
        <v>160</v>
      </c>
      <c r="K39" s="108" t="s">
        <v>9</v>
      </c>
      <c r="L39" s="109">
        <v>220.4</v>
      </c>
      <c r="M39" s="110">
        <v>250</v>
      </c>
      <c r="N39" s="112">
        <v>11.24</v>
      </c>
    </row>
    <row r="40" spans="10:14" ht="13.5" thickBot="1">
      <c r="J40" s="107" t="s">
        <v>212</v>
      </c>
      <c r="K40" s="108" t="s">
        <v>9</v>
      </c>
      <c r="L40" s="109">
        <v>277.6</v>
      </c>
      <c r="M40" s="110">
        <v>315</v>
      </c>
      <c r="N40" s="112">
        <v>17.97</v>
      </c>
    </row>
    <row r="41" spans="1:14" ht="13.5" customHeight="1">
      <c r="A41" s="38"/>
      <c r="B41" s="39"/>
      <c r="C41" s="39"/>
      <c r="D41" s="39"/>
      <c r="E41" s="39"/>
      <c r="F41" s="39"/>
      <c r="G41" s="40"/>
      <c r="H41" s="42"/>
      <c r="J41" s="107" t="s">
        <v>213</v>
      </c>
      <c r="K41" s="108" t="s">
        <v>9</v>
      </c>
      <c r="L41" s="109">
        <v>312.8</v>
      </c>
      <c r="M41" s="110">
        <v>355</v>
      </c>
      <c r="N41" s="112">
        <v>22.85</v>
      </c>
    </row>
    <row r="42" spans="1:14" ht="13.5" thickBot="1">
      <c r="A42" s="41"/>
      <c r="B42" s="42"/>
      <c r="C42" s="277" t="s">
        <v>57</v>
      </c>
      <c r="D42" s="277"/>
      <c r="E42" s="277"/>
      <c r="F42" s="42"/>
      <c r="G42" s="43"/>
      <c r="H42" s="42"/>
      <c r="J42" s="117" t="s">
        <v>214</v>
      </c>
      <c r="K42" s="118" t="s">
        <v>9</v>
      </c>
      <c r="L42" s="120">
        <v>352.6</v>
      </c>
      <c r="M42" s="119">
        <v>400</v>
      </c>
      <c r="N42" s="150">
        <v>28.27</v>
      </c>
    </row>
    <row r="43" spans="1:14" ht="12.75">
      <c r="A43" s="44"/>
      <c r="B43" s="42"/>
      <c r="C43" s="277" t="s">
        <v>253</v>
      </c>
      <c r="D43" s="277"/>
      <c r="E43" s="277"/>
      <c r="F43" s="53"/>
      <c r="G43" s="43"/>
      <c r="H43" s="42"/>
      <c r="J43" s="264" t="s">
        <v>242</v>
      </c>
      <c r="K43" s="265" t="s">
        <v>9</v>
      </c>
      <c r="L43" s="266">
        <v>53.6</v>
      </c>
      <c r="M43" s="267">
        <v>63</v>
      </c>
      <c r="N43" s="268">
        <v>0.89</v>
      </c>
    </row>
    <row r="44" spans="1:14" ht="13.5" thickBot="1">
      <c r="A44" s="45"/>
      <c r="B44" s="46"/>
      <c r="C44" s="46"/>
      <c r="D44" s="46"/>
      <c r="E44" s="46"/>
      <c r="F44" s="46"/>
      <c r="G44" s="47"/>
      <c r="H44" s="42"/>
      <c r="J44" s="107" t="s">
        <v>243</v>
      </c>
      <c r="K44" s="108" t="s">
        <v>9</v>
      </c>
      <c r="L44" s="109">
        <v>64.29</v>
      </c>
      <c r="M44" s="110">
        <v>75</v>
      </c>
      <c r="N44" s="112">
        <v>1.21</v>
      </c>
    </row>
    <row r="45" spans="7:14" ht="12.75">
      <c r="G45" s="54" t="s">
        <v>94</v>
      </c>
      <c r="H45" s="54"/>
      <c r="J45" s="107" t="s">
        <v>244</v>
      </c>
      <c r="K45" s="108" t="s">
        <v>9</v>
      </c>
      <c r="L45" s="109">
        <v>76.6</v>
      </c>
      <c r="M45" s="110">
        <v>90</v>
      </c>
      <c r="N45" s="112">
        <v>1.81</v>
      </c>
    </row>
    <row r="46" spans="10:14" ht="12.75">
      <c r="J46" s="107" t="s">
        <v>245</v>
      </c>
      <c r="K46" s="108" t="s">
        <v>9</v>
      </c>
      <c r="L46" s="109">
        <v>93.8</v>
      </c>
      <c r="M46" s="110">
        <v>110</v>
      </c>
      <c r="N46" s="112">
        <v>2.68</v>
      </c>
    </row>
    <row r="47" spans="1:14" ht="29.25" customHeight="1" thickBot="1">
      <c r="A47" s="278" t="s">
        <v>189</v>
      </c>
      <c r="B47" s="278"/>
      <c r="C47" s="278"/>
      <c r="D47" s="278"/>
      <c r="E47" s="278"/>
      <c r="F47" s="278"/>
      <c r="G47" s="278"/>
      <c r="J47" s="107" t="s">
        <v>246</v>
      </c>
      <c r="K47" s="108" t="s">
        <v>9</v>
      </c>
      <c r="L47" s="109">
        <v>136.4</v>
      </c>
      <c r="M47" s="110">
        <v>160</v>
      </c>
      <c r="N47" s="112">
        <v>5.67</v>
      </c>
    </row>
    <row r="48" spans="1:14" ht="29.25" customHeight="1" thickBot="1">
      <c r="A48" s="297" t="s">
        <v>182</v>
      </c>
      <c r="B48" s="298"/>
      <c r="C48" s="298"/>
      <c r="D48" s="299"/>
      <c r="J48" s="107" t="s">
        <v>247</v>
      </c>
      <c r="K48" s="108" t="s">
        <v>9</v>
      </c>
      <c r="L48" s="109">
        <v>170.6</v>
      </c>
      <c r="M48" s="110">
        <v>200</v>
      </c>
      <c r="N48" s="112">
        <v>8.84</v>
      </c>
    </row>
    <row r="49" spans="1:14" ht="29.25" customHeight="1">
      <c r="A49" s="333" t="s">
        <v>83</v>
      </c>
      <c r="B49" s="334"/>
      <c r="C49" s="80" t="s">
        <v>186</v>
      </c>
      <c r="D49" s="213">
        <v>2200</v>
      </c>
      <c r="J49" s="107" t="s">
        <v>248</v>
      </c>
      <c r="K49" s="108" t="s">
        <v>9</v>
      </c>
      <c r="L49" s="109">
        <v>213.2</v>
      </c>
      <c r="M49" s="110">
        <v>250</v>
      </c>
      <c r="N49" s="112">
        <v>13.82</v>
      </c>
    </row>
    <row r="50" spans="1:14" ht="15.75">
      <c r="A50" s="335" t="s">
        <v>85</v>
      </c>
      <c r="B50" s="336"/>
      <c r="C50" s="80" t="s">
        <v>186</v>
      </c>
      <c r="D50" s="214">
        <v>1000</v>
      </c>
      <c r="J50" s="107" t="s">
        <v>249</v>
      </c>
      <c r="K50" s="108" t="s">
        <v>9</v>
      </c>
      <c r="L50" s="109">
        <v>268.6</v>
      </c>
      <c r="M50" s="110">
        <v>315</v>
      </c>
      <c r="N50" s="112">
        <v>21.96</v>
      </c>
    </row>
    <row r="51" spans="1:14" ht="12.75">
      <c r="A51" s="335" t="s">
        <v>88</v>
      </c>
      <c r="B51" s="336"/>
      <c r="C51" s="80" t="s">
        <v>36</v>
      </c>
      <c r="D51" s="238"/>
      <c r="J51" s="107" t="s">
        <v>250</v>
      </c>
      <c r="K51" s="108" t="s">
        <v>9</v>
      </c>
      <c r="L51" s="109">
        <v>302.8</v>
      </c>
      <c r="M51" s="110">
        <v>355</v>
      </c>
      <c r="N51" s="112">
        <v>27.85</v>
      </c>
    </row>
    <row r="52" spans="1:14" ht="13.5" thickBot="1">
      <c r="A52" s="335" t="s">
        <v>82</v>
      </c>
      <c r="B52" s="336"/>
      <c r="C52" s="80" t="s">
        <v>81</v>
      </c>
      <c r="D52" s="238"/>
      <c r="J52" s="117" t="s">
        <v>251</v>
      </c>
      <c r="K52" s="118" t="s">
        <v>9</v>
      </c>
      <c r="L52" s="120">
        <v>341.2</v>
      </c>
      <c r="M52" s="119">
        <v>400</v>
      </c>
      <c r="N52" s="150">
        <v>35.34</v>
      </c>
    </row>
    <row r="53" spans="1:14" ht="15.75">
      <c r="A53" s="335" t="s">
        <v>84</v>
      </c>
      <c r="B53" s="336"/>
      <c r="C53" s="80" t="s">
        <v>43</v>
      </c>
      <c r="D53" s="214">
        <f>+E12</f>
      </c>
      <c r="E53" s="61"/>
      <c r="J53" s="101" t="s">
        <v>215</v>
      </c>
      <c r="K53" s="102" t="s">
        <v>9</v>
      </c>
      <c r="L53" s="103">
        <v>40.8</v>
      </c>
      <c r="M53" s="104">
        <v>50</v>
      </c>
      <c r="N53" s="106">
        <v>0.68</v>
      </c>
    </row>
    <row r="54" spans="1:14" ht="28.5" customHeight="1">
      <c r="A54" s="287" t="s">
        <v>86</v>
      </c>
      <c r="B54" s="288"/>
      <c r="C54" s="80" t="s">
        <v>43</v>
      </c>
      <c r="D54" s="238"/>
      <c r="J54" s="107" t="s">
        <v>161</v>
      </c>
      <c r="K54" s="108" t="s">
        <v>9</v>
      </c>
      <c r="L54" s="109">
        <v>51.4</v>
      </c>
      <c r="M54" s="110">
        <v>63</v>
      </c>
      <c r="N54" s="112">
        <v>1.09</v>
      </c>
    </row>
    <row r="55" spans="1:14" ht="14.25">
      <c r="A55" s="335" t="s">
        <v>184</v>
      </c>
      <c r="B55" s="336"/>
      <c r="C55" s="80" t="s">
        <v>187</v>
      </c>
      <c r="D55" s="215">
        <f>IF(C12="","",PI()*((C12/1000)^2)/4)</f>
      </c>
      <c r="J55" s="107" t="s">
        <v>216</v>
      </c>
      <c r="K55" s="108" t="s">
        <v>9</v>
      </c>
      <c r="L55" s="109">
        <v>61.36</v>
      </c>
      <c r="M55" s="110">
        <v>75</v>
      </c>
      <c r="N55" s="112">
        <v>1.51</v>
      </c>
    </row>
    <row r="56" spans="1:14" ht="28.5" customHeight="1" thickBot="1">
      <c r="A56" s="337" t="s">
        <v>169</v>
      </c>
      <c r="B56" s="338"/>
      <c r="C56" s="85" t="s">
        <v>87</v>
      </c>
      <c r="D56" s="236">
        <f>IF(A12="","",(D51*(D52*D55*D50-D53-D54))/(1-D52*(D50/D49)))</f>
      </c>
      <c r="J56" s="107" t="s">
        <v>162</v>
      </c>
      <c r="K56" s="108" t="s">
        <v>9</v>
      </c>
      <c r="L56" s="109">
        <v>73.6</v>
      </c>
      <c r="M56" s="110">
        <v>90</v>
      </c>
      <c r="N56" s="112">
        <v>2.17</v>
      </c>
    </row>
    <row r="57" spans="10:14" ht="12.75">
      <c r="J57" s="107" t="s">
        <v>163</v>
      </c>
      <c r="K57" s="108" t="s">
        <v>9</v>
      </c>
      <c r="L57" s="109">
        <v>90</v>
      </c>
      <c r="M57" s="110">
        <v>110</v>
      </c>
      <c r="N57" s="112">
        <v>3.21</v>
      </c>
    </row>
    <row r="58" spans="10:14" ht="12.75">
      <c r="J58" s="107" t="s">
        <v>164</v>
      </c>
      <c r="K58" s="108" t="s">
        <v>9</v>
      </c>
      <c r="L58" s="109">
        <v>130.8</v>
      </c>
      <c r="M58" s="110">
        <v>160</v>
      </c>
      <c r="N58" s="112">
        <v>6.81</v>
      </c>
    </row>
    <row r="59" spans="1:14" ht="12.75">
      <c r="A59" s="281" t="s">
        <v>210</v>
      </c>
      <c r="B59" s="282">
        <f>+IF(OR(D56="",C29=""),"",IF(D56&lt;1.1*C29,"Peso del lastre insuficiente, aumentar FSF ó distancia entre lastres","Peso del lastre correcto"))</f>
      </c>
      <c r="C59" s="282"/>
      <c r="D59" s="282"/>
      <c r="J59" s="107" t="s">
        <v>165</v>
      </c>
      <c r="K59" s="108" t="s">
        <v>9</v>
      </c>
      <c r="L59" s="109">
        <v>163.6</v>
      </c>
      <c r="M59" s="110">
        <v>200</v>
      </c>
      <c r="N59" s="112">
        <v>11.13</v>
      </c>
    </row>
    <row r="60" spans="1:14" ht="12.75">
      <c r="A60" s="281"/>
      <c r="B60" s="282"/>
      <c r="C60" s="282"/>
      <c r="D60" s="282"/>
      <c r="J60" s="107" t="s">
        <v>166</v>
      </c>
      <c r="K60" s="108" t="s">
        <v>9</v>
      </c>
      <c r="L60" s="109">
        <v>204.6</v>
      </c>
      <c r="M60" s="110">
        <v>250</v>
      </c>
      <c r="N60" s="112">
        <v>16.65</v>
      </c>
    </row>
    <row r="61" spans="10:14" ht="12.75">
      <c r="J61" s="107" t="s">
        <v>217</v>
      </c>
      <c r="K61" s="108" t="s">
        <v>9</v>
      </c>
      <c r="L61" s="109">
        <v>28.6</v>
      </c>
      <c r="M61" s="110">
        <v>315</v>
      </c>
      <c r="N61" s="112">
        <v>26.57</v>
      </c>
    </row>
    <row r="62" spans="10:14" ht="13.5" thickBot="1">
      <c r="J62" s="107" t="s">
        <v>218</v>
      </c>
      <c r="K62" s="108" t="s">
        <v>9</v>
      </c>
      <c r="L62" s="109">
        <v>32.2</v>
      </c>
      <c r="M62" s="110">
        <v>355</v>
      </c>
      <c r="N62" s="112">
        <v>33.72</v>
      </c>
    </row>
    <row r="63" spans="1:14" ht="13.5" thickBot="1">
      <c r="A63" s="284" t="s">
        <v>183</v>
      </c>
      <c r="B63" s="285"/>
      <c r="C63" s="285"/>
      <c r="D63" s="286"/>
      <c r="J63" s="117" t="s">
        <v>219</v>
      </c>
      <c r="K63" s="118" t="s">
        <v>9</v>
      </c>
      <c r="L63" s="120">
        <v>36.3</v>
      </c>
      <c r="M63" s="119">
        <v>400</v>
      </c>
      <c r="N63" s="150">
        <v>42.83</v>
      </c>
    </row>
    <row r="64" spans="1:4" ht="14.25">
      <c r="A64" s="279" t="s">
        <v>89</v>
      </c>
      <c r="B64" s="280"/>
      <c r="C64" s="192" t="s">
        <v>185</v>
      </c>
      <c r="D64" s="87">
        <f>IF(A12="","",D56/D49)</f>
      </c>
    </row>
    <row r="65" spans="1:4" ht="13.5" thickBot="1">
      <c r="A65" s="279" t="s">
        <v>192</v>
      </c>
      <c r="B65" s="280"/>
      <c r="C65" s="192" t="s">
        <v>36</v>
      </c>
      <c r="D65" s="88">
        <f>IF(A26="","",D12+0.4)</f>
      </c>
    </row>
    <row r="66" spans="1:15" ht="13.5" thickBot="1">
      <c r="A66" s="283" t="s">
        <v>191</v>
      </c>
      <c r="B66" s="283"/>
      <c r="C66" s="192" t="s">
        <v>36</v>
      </c>
      <c r="D66" s="88">
        <f>IF(A12="","",D12+0.3)</f>
      </c>
      <c r="J66" s="322" t="s">
        <v>69</v>
      </c>
      <c r="K66" s="323"/>
      <c r="L66" s="323"/>
      <c r="M66" s="323"/>
      <c r="N66" s="323"/>
      <c r="O66" s="324"/>
    </row>
    <row r="67" spans="1:15" ht="13.5" thickBot="1">
      <c r="A67" s="258" t="s">
        <v>199</v>
      </c>
      <c r="B67" s="259"/>
      <c r="C67" s="86" t="s">
        <v>36</v>
      </c>
      <c r="D67" s="237">
        <f>IF(A26="","",D64/(D66*D65))</f>
      </c>
      <c r="J67" s="196" t="s">
        <v>179</v>
      </c>
      <c r="K67" s="166"/>
      <c r="L67" s="166"/>
      <c r="M67" s="167"/>
      <c r="N67" s="195" t="s">
        <v>178</v>
      </c>
      <c r="O67" s="176" t="s">
        <v>180</v>
      </c>
    </row>
    <row r="68" spans="1:15" ht="12.75">
      <c r="A68" s="249"/>
      <c r="J68" s="168" t="s">
        <v>170</v>
      </c>
      <c r="K68" s="169"/>
      <c r="L68" s="169"/>
      <c r="M68" s="170"/>
      <c r="N68" s="177">
        <v>0.1924</v>
      </c>
      <c r="O68" s="178">
        <v>1682</v>
      </c>
    </row>
    <row r="69" spans="1:15" ht="12.75">
      <c r="A69" s="223" t="s">
        <v>194</v>
      </c>
      <c r="B69" s="224"/>
      <c r="C69" s="224"/>
      <c r="D69" s="224"/>
      <c r="E69" s="224"/>
      <c r="F69" s="224"/>
      <c r="G69" s="224"/>
      <c r="J69" s="171" t="s">
        <v>171</v>
      </c>
      <c r="K69" s="149"/>
      <c r="L69" s="149"/>
      <c r="M69" s="172"/>
      <c r="N69" s="179">
        <v>0.165</v>
      </c>
      <c r="O69" s="180">
        <v>1602</v>
      </c>
    </row>
    <row r="70" spans="1:15" ht="12.75">
      <c r="A70" s="224"/>
      <c r="B70" s="224"/>
      <c r="C70" s="224"/>
      <c r="D70" s="224"/>
      <c r="E70" s="224"/>
      <c r="F70" s="224"/>
      <c r="G70" s="224"/>
      <c r="J70" s="171" t="s">
        <v>172</v>
      </c>
      <c r="K70" s="149"/>
      <c r="L70" s="149"/>
      <c r="M70" s="172"/>
      <c r="N70" s="179">
        <v>0.15</v>
      </c>
      <c r="O70" s="180">
        <v>1842</v>
      </c>
    </row>
    <row r="71" spans="10:15" ht="12.75">
      <c r="J71" s="171" t="s">
        <v>173</v>
      </c>
      <c r="K71" s="149"/>
      <c r="L71" s="149"/>
      <c r="M71" s="172"/>
      <c r="N71" s="179">
        <v>0.11</v>
      </c>
      <c r="O71" s="180">
        <v>2082</v>
      </c>
    </row>
    <row r="72" spans="10:15" ht="12.75">
      <c r="J72" s="171" t="s">
        <v>174</v>
      </c>
      <c r="K72" s="149"/>
      <c r="L72" s="149"/>
      <c r="M72" s="172"/>
      <c r="N72" s="179">
        <v>0.13</v>
      </c>
      <c r="O72" s="180">
        <v>1922</v>
      </c>
    </row>
    <row r="73" spans="10:15" ht="13.5" customHeight="1">
      <c r="J73" s="171" t="s">
        <v>175</v>
      </c>
      <c r="K73" s="149"/>
      <c r="L73" s="149"/>
      <c r="M73" s="172"/>
      <c r="N73" s="181">
        <v>0.165</v>
      </c>
      <c r="O73" s="180">
        <v>1922</v>
      </c>
    </row>
    <row r="74" spans="10:15" ht="12.75">
      <c r="J74" s="171" t="s">
        <v>176</v>
      </c>
      <c r="K74" s="149"/>
      <c r="L74" s="149"/>
      <c r="M74" s="172"/>
      <c r="N74" s="182">
        <v>0.165</v>
      </c>
      <c r="O74" s="180">
        <v>1842</v>
      </c>
    </row>
    <row r="75" spans="10:15" ht="13.5" thickBot="1">
      <c r="J75" s="173" t="s">
        <v>177</v>
      </c>
      <c r="K75" s="174"/>
      <c r="L75" s="174"/>
      <c r="M75" s="175"/>
      <c r="N75" s="183">
        <v>0.165</v>
      </c>
      <c r="O75" s="184">
        <v>1602</v>
      </c>
    </row>
  </sheetData>
  <sheetProtection/>
  <mergeCells count="38">
    <mergeCell ref="C2:E2"/>
    <mergeCell ref="C3:E3"/>
    <mergeCell ref="J9:K10"/>
    <mergeCell ref="A14:D14"/>
    <mergeCell ref="J8:N8"/>
    <mergeCell ref="A15:B15"/>
    <mergeCell ref="C15:D15"/>
    <mergeCell ref="A24:D24"/>
    <mergeCell ref="A25:B25"/>
    <mergeCell ref="A26:B26"/>
    <mergeCell ref="A28:D28"/>
    <mergeCell ref="A30:B30"/>
    <mergeCell ref="A31:B31"/>
    <mergeCell ref="D31:F31"/>
    <mergeCell ref="A34:B34"/>
    <mergeCell ref="A52:B52"/>
    <mergeCell ref="E26:G27"/>
    <mergeCell ref="A29:B29"/>
    <mergeCell ref="A33:D33"/>
    <mergeCell ref="A65:B65"/>
    <mergeCell ref="A56:B56"/>
    <mergeCell ref="C42:E42"/>
    <mergeCell ref="C43:E43"/>
    <mergeCell ref="A59:A60"/>
    <mergeCell ref="B59:D60"/>
    <mergeCell ref="A55:B55"/>
    <mergeCell ref="A53:B53"/>
    <mergeCell ref="A54:B54"/>
    <mergeCell ref="J66:O66"/>
    <mergeCell ref="A66:B66"/>
    <mergeCell ref="A36:G37"/>
    <mergeCell ref="A47:G47"/>
    <mergeCell ref="A48:D48"/>
    <mergeCell ref="A63:D63"/>
    <mergeCell ref="A49:B49"/>
    <mergeCell ref="A50:B50"/>
    <mergeCell ref="A64:B64"/>
    <mergeCell ref="A51:B51"/>
  </mergeCells>
  <dataValidations count="3">
    <dataValidation operator="lessThan" allowBlank="1" showInputMessage="1" showErrorMessage="1" error="AAAA" sqref="D31"/>
    <dataValidation type="list" allowBlank="1" showInputMessage="1" showErrorMessage="1" sqref="A12">
      <formula1>$J$11:$J$63</formula1>
    </dataValidation>
    <dataValidation type="list" allowBlank="1" showInputMessage="1" showErrorMessage="1" sqref="A26:B26">
      <formula1>$J$68:$J$75</formula1>
    </dataValidation>
  </dataValidations>
  <printOptions/>
  <pageMargins left="0.75" right="0.75" top="1" bottom="1" header="0" footer="0"/>
  <pageSetup horizontalDpi="600" verticalDpi="600" orientation="portrait" scale="87" r:id="rId4"/>
  <rowBreaks count="1" manualBreakCount="1">
    <brk id="38" max="7" man="1"/>
  </rowBreaks>
  <drawing r:id="rId3"/>
  <legacyDrawing r:id="rId2"/>
  <oleObjects>
    <oleObject progId="Equation.DSMT4" shapeId="38915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K9"/>
  <sheetViews>
    <sheetView view="pageBreakPreview" zoomScaleSheetLayoutView="100" zoomScalePageLayoutView="0" workbookViewId="0" topLeftCell="A1">
      <selection activeCell="A4" sqref="A4:J7"/>
    </sheetView>
  </sheetViews>
  <sheetFormatPr defaultColWidth="11.421875" defaultRowHeight="12.75"/>
  <cols>
    <col min="5" max="5" width="8.140625" style="0" customWidth="1"/>
    <col min="7" max="7" width="4.7109375" style="0" customWidth="1"/>
  </cols>
  <sheetData>
    <row r="1" spans="1:11" ht="16.5" thickBot="1">
      <c r="A1" s="356" t="s">
        <v>196</v>
      </c>
      <c r="B1" s="357"/>
      <c r="C1" s="357"/>
      <c r="D1" s="357"/>
      <c r="E1" s="357"/>
      <c r="F1" s="357"/>
      <c r="G1" s="357"/>
      <c r="H1" s="357"/>
      <c r="I1" s="357"/>
      <c r="J1" s="358"/>
      <c r="K1" s="37"/>
    </row>
    <row r="2" spans="1:11" ht="12.75" customHeight="1">
      <c r="A2" s="252" t="s">
        <v>200</v>
      </c>
      <c r="B2" s="250"/>
      <c r="C2" s="250"/>
      <c r="D2" s="250"/>
      <c r="E2" s="250"/>
      <c r="F2" s="253" t="s">
        <v>201</v>
      </c>
      <c r="G2" s="250"/>
      <c r="H2" s="250"/>
      <c r="I2" s="250"/>
      <c r="J2" s="251"/>
      <c r="K2" s="42"/>
    </row>
    <row r="3" spans="1:11" ht="12.75" customHeight="1">
      <c r="A3" s="254" t="s">
        <v>202</v>
      </c>
      <c r="B3" s="233"/>
      <c r="C3" s="233"/>
      <c r="D3" s="233"/>
      <c r="E3" s="233"/>
      <c r="F3" s="233"/>
      <c r="H3" s="255" t="s">
        <v>203</v>
      </c>
      <c r="I3" s="233"/>
      <c r="J3" s="234"/>
      <c r="K3" s="52" t="s">
        <v>56</v>
      </c>
    </row>
    <row r="4" spans="1:11" ht="19.5" customHeight="1">
      <c r="A4" s="347" t="s">
        <v>197</v>
      </c>
      <c r="B4" s="348"/>
      <c r="C4" s="348"/>
      <c r="D4" s="348"/>
      <c r="E4" s="348"/>
      <c r="F4" s="348"/>
      <c r="G4" s="348"/>
      <c r="H4" s="348"/>
      <c r="I4" s="348"/>
      <c r="J4" s="349"/>
      <c r="K4" s="42"/>
    </row>
    <row r="5" spans="1:10" ht="19.5" customHeight="1">
      <c r="A5" s="350"/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9.5" customHeight="1">
      <c r="A6" s="350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9.5" customHeight="1">
      <c r="A7" s="353"/>
      <c r="B7" s="354"/>
      <c r="C7" s="354"/>
      <c r="D7" s="354"/>
      <c r="E7" s="354"/>
      <c r="F7" s="354"/>
      <c r="G7" s="354"/>
      <c r="H7" s="354"/>
      <c r="I7" s="354"/>
      <c r="J7" s="355"/>
    </row>
    <row r="8" spans="1:10" ht="195" customHeight="1">
      <c r="A8" s="341" t="s">
        <v>204</v>
      </c>
      <c r="B8" s="342"/>
      <c r="C8" s="342"/>
      <c r="D8" s="342"/>
      <c r="E8" s="342"/>
      <c r="F8" s="342"/>
      <c r="G8" s="342"/>
      <c r="H8" s="342"/>
      <c r="I8" s="342"/>
      <c r="J8" s="343"/>
    </row>
    <row r="9" spans="1:10" ht="28.5" customHeight="1">
      <c r="A9" s="344" t="s">
        <v>205</v>
      </c>
      <c r="B9" s="345"/>
      <c r="C9" s="345"/>
      <c r="D9" s="345"/>
      <c r="E9" s="345"/>
      <c r="F9" s="345"/>
      <c r="G9" s="345"/>
      <c r="H9" s="345"/>
      <c r="I9" s="345"/>
      <c r="J9" s="346"/>
    </row>
  </sheetData>
  <sheetProtection password="D1CD" sheet="1" objects="1" scenarios="1"/>
  <mergeCells count="4">
    <mergeCell ref="A8:J8"/>
    <mergeCell ref="A9:J9"/>
    <mergeCell ref="A4:J7"/>
    <mergeCell ref="A1:J1"/>
  </mergeCells>
  <printOptions/>
  <pageMargins left="0.75" right="0.75" top="1" bottom="1" header="0" footer="0"/>
  <pageSetup horizontalDpi="600" verticalDpi="600" orientation="portrait" scale="78" r:id="rId5"/>
  <drawing r:id="rId4"/>
  <legacyDrawing r:id="rId3"/>
  <oleObjects>
    <oleObject progId="Equation.DSMT4" shapeId="579495" r:id="rId1"/>
    <oleObject progId="Equation.DSMT4" shapeId="6819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Mexichem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flmendoza</dc:creator>
  <cp:keywords/>
  <dc:description/>
  <cp:lastModifiedBy>Francisco Leonardo Mendoza Escobar</cp:lastModifiedBy>
  <cp:lastPrinted>2011-11-28T15:16:20Z</cp:lastPrinted>
  <dcterms:created xsi:type="dcterms:W3CDTF">2011-11-22T13:55:47Z</dcterms:created>
  <dcterms:modified xsi:type="dcterms:W3CDTF">2012-10-08T20:33:33Z</dcterms:modified>
  <cp:category/>
  <cp:version/>
  <cp:contentType/>
  <cp:contentStatus/>
</cp:coreProperties>
</file>