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 defaultThemeVersion="124226"/>
  <bookViews>
    <workbookView xWindow="360" yWindow="90" windowWidth="9195" windowHeight="11760"/>
  </bookViews>
  <sheets>
    <sheet name="TUBERIA PRESION" sheetId="5" r:id="rId1"/>
    <sheet name="TABLAS" sheetId="3" state="hidden" r:id="rId2"/>
  </sheets>
  <functionGroups builtInGroupCount="17"/>
  <calcPr calcId="145621"/>
</workbook>
</file>

<file path=xl/calcChain.xml><?xml version="1.0" encoding="utf-8"?>
<calcChain xmlns="http://schemas.openxmlformats.org/spreadsheetml/2006/main">
  <c r="F21" i="5" l="1"/>
  <c r="E21" i="5"/>
  <c r="D21" i="5"/>
  <c r="C21" i="5"/>
  <c r="A21" i="5"/>
  <c r="W7" i="5"/>
  <c r="W8" i="5"/>
  <c r="X8" i="5"/>
  <c r="X9" i="5"/>
  <c r="P10" i="5"/>
  <c r="O10" i="5"/>
  <c r="M18" i="5" l="1"/>
  <c r="T5" i="5" l="1"/>
  <c r="T6" i="5"/>
  <c r="U6" i="5"/>
  <c r="U5" i="5"/>
  <c r="U1" i="5"/>
  <c r="T2" i="5"/>
  <c r="T1" i="5"/>
  <c r="U2" i="5"/>
  <c r="W1" i="5"/>
  <c r="W2" i="5"/>
  <c r="M12" i="5"/>
  <c r="L12" i="5"/>
  <c r="S14" i="5"/>
  <c r="G10" i="5"/>
  <c r="B11" i="5"/>
  <c r="G21" i="5"/>
  <c r="H21" i="5" l="1"/>
  <c r="I21" i="5" s="1"/>
  <c r="J21" i="5" s="1"/>
  <c r="K21" i="5" s="1"/>
  <c r="A19" i="5"/>
  <c r="P18" i="5" l="1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</calcChain>
</file>

<file path=xl/sharedStrings.xml><?xml version="1.0" encoding="utf-8"?>
<sst xmlns="http://schemas.openxmlformats.org/spreadsheetml/2006/main" count="77" uniqueCount="52">
  <si>
    <t>Caudal</t>
  </si>
  <si>
    <t>Longitud</t>
  </si>
  <si>
    <t>[m]</t>
  </si>
  <si>
    <t>[m/s]</t>
  </si>
  <si>
    <t>[%]</t>
  </si>
  <si>
    <t>Rugosidad Absoluta (Ks)</t>
  </si>
  <si>
    <t>[mm]</t>
  </si>
  <si>
    <t>Material</t>
  </si>
  <si>
    <t>Viscocidad Cinematica</t>
  </si>
  <si>
    <t>[m2/s]</t>
  </si>
  <si>
    <t>[°C]</t>
  </si>
  <si>
    <t xml:space="preserve">Diametro </t>
  </si>
  <si>
    <t>Caida</t>
  </si>
  <si>
    <t>Datos de Entrada</t>
  </si>
  <si>
    <t>GRP</t>
  </si>
  <si>
    <t>Ks [mm]</t>
  </si>
  <si>
    <t>PVC</t>
  </si>
  <si>
    <t>PEAD</t>
  </si>
  <si>
    <t>Unidad</t>
  </si>
  <si>
    <r>
      <t>[m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/seg]</t>
    </r>
  </si>
  <si>
    <r>
      <t>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/s]</t>
    </r>
  </si>
  <si>
    <t>Caida Neta</t>
  </si>
  <si>
    <t>Potencia</t>
  </si>
  <si>
    <t>[Mw]</t>
  </si>
  <si>
    <t>Eficiencia</t>
  </si>
  <si>
    <t>Fluido</t>
  </si>
  <si>
    <t>1. Caracteristicas de la tuberia</t>
  </si>
  <si>
    <t>2. Caracteristicas del Fluido</t>
  </si>
  <si>
    <t>Temperatura del Fluido</t>
  </si>
  <si>
    <t>3. Caracteristicas Topograficas</t>
  </si>
  <si>
    <t>4. Caracteristicas Turbina</t>
  </si>
  <si>
    <t>FLUIDO</t>
  </si>
  <si>
    <t>TEMPERATURA</t>
  </si>
  <si>
    <t>VISCOCIDAD CINEMATICA</t>
  </si>
  <si>
    <t>DENSIDAD</t>
  </si>
  <si>
    <t>VISCOCIDAD DINAMICA</t>
  </si>
  <si>
    <t>[kg/m3]</t>
  </si>
  <si>
    <t>[Pa*s]</t>
  </si>
  <si>
    <t>Agua</t>
  </si>
  <si>
    <t>Rugosidades</t>
  </si>
  <si>
    <t>Propiedades de los fluidos @ temperatura</t>
  </si>
  <si>
    <t>Resultados</t>
  </si>
  <si>
    <t>Area</t>
  </si>
  <si>
    <t>Velocidad</t>
  </si>
  <si>
    <t>Numero de
 Reynolds</t>
  </si>
  <si>
    <t>n de Manning</t>
  </si>
  <si>
    <t>PROGRAMA PARA EL CALCULO HIDRAULICO
CONDUCTOS A PRESION</t>
  </si>
  <si>
    <r>
      <t xml:space="preserve">Factor de fricción
( </t>
    </r>
    <r>
      <rPr>
        <b/>
        <i/>
        <sz val="10"/>
        <color rgb="FF00B050"/>
        <rFont val="Arial"/>
        <family val="2"/>
      </rPr>
      <t>f</t>
    </r>
    <r>
      <rPr>
        <b/>
        <sz val="10"/>
        <color rgb="FF00B050"/>
        <rFont val="Arial"/>
        <family val="2"/>
      </rPr>
      <t xml:space="preserve"> Darcy)</t>
    </r>
  </si>
  <si>
    <r>
      <t>Perdidas por friccion 
h</t>
    </r>
    <r>
      <rPr>
        <b/>
        <vertAlign val="subscript"/>
        <sz val="11"/>
        <color rgb="FF00B050"/>
        <rFont val="Calibri"/>
        <family val="2"/>
        <scheme val="minor"/>
      </rPr>
      <t>f</t>
    </r>
    <r>
      <rPr>
        <b/>
        <sz val="11"/>
        <color rgb="FF00B050"/>
        <rFont val="Calibri"/>
        <family val="2"/>
        <scheme val="minor"/>
      </rPr>
      <t xml:space="preserve"> </t>
    </r>
  </si>
  <si>
    <r>
      <rPr>
        <b/>
        <sz val="10"/>
        <color rgb="FF00B050"/>
        <rFont val="Arial"/>
        <family val="2"/>
      </rPr>
      <t>Perdidas menores (0.2*h</t>
    </r>
    <r>
      <rPr>
        <b/>
        <vertAlign val="subscript"/>
        <sz val="10"/>
        <color rgb="FF00B050"/>
        <rFont val="Arial"/>
        <family val="2"/>
      </rPr>
      <t>f</t>
    </r>
    <r>
      <rPr>
        <b/>
        <sz val="10"/>
        <color rgb="FF00B050"/>
        <rFont val="Arial"/>
        <family val="2"/>
      </rPr>
      <t>)</t>
    </r>
    <r>
      <rPr>
        <b/>
        <sz val="11"/>
        <color rgb="FF00B050"/>
        <rFont val="Symbol"/>
        <family val="1"/>
        <charset val="2"/>
      </rPr>
      <t xml:space="preserve">
S</t>
    </r>
    <r>
      <rPr>
        <b/>
        <sz val="11"/>
        <color rgb="FF00B050"/>
        <rFont val="Calibri"/>
        <family val="2"/>
        <scheme val="minor"/>
      </rPr>
      <t>h</t>
    </r>
    <r>
      <rPr>
        <b/>
        <vertAlign val="subscript"/>
        <sz val="11"/>
        <color rgb="FF00B050"/>
        <rFont val="Calibri"/>
        <family val="2"/>
        <scheme val="minor"/>
      </rPr>
      <t>m</t>
    </r>
  </si>
  <si>
    <r>
      <t>[m</t>
    </r>
    <r>
      <rPr>
        <b/>
        <vertAlign val="superscript"/>
        <sz val="10"/>
        <color rgb="FF00B050"/>
        <rFont val="Arial"/>
        <family val="2"/>
      </rPr>
      <t>2</t>
    </r>
    <r>
      <rPr>
        <b/>
        <sz val="10"/>
        <color rgb="FF00B050"/>
        <rFont val="Arial"/>
        <family val="2"/>
      </rPr>
      <t>]</t>
    </r>
  </si>
  <si>
    <t>ESQUEMA BASICO DE DISEÑO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</si>
</sst>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"/>
    <numFmt numFmtId="165" formatCode="0.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8" tint="-0.499984740745262"/>
      <name val="Arial"/>
      <family val="2"/>
    </font>
    <font>
      <b/>
      <sz val="10"/>
      <color theme="8" tint="-0.249977111117893"/>
      <name val="Arial"/>
      <family val="2"/>
    </font>
    <font>
      <b/>
      <sz val="11"/>
      <color rgb="FF00B050"/>
      <name val="Arial"/>
      <family val="2"/>
    </font>
    <font>
      <b/>
      <i/>
      <sz val="10"/>
      <color rgb="FF00B050"/>
      <name val="Arial"/>
      <family val="2"/>
    </font>
    <font>
      <b/>
      <vertAlign val="subscript"/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vertAlign val="subscript"/>
      <sz val="10"/>
      <color rgb="FF00B050"/>
      <name val="Arial"/>
      <family val="2"/>
    </font>
    <font>
      <b/>
      <sz val="11"/>
      <color rgb="FF00B050"/>
      <name val="Symbol"/>
      <family val="1"/>
      <charset val="2"/>
    </font>
    <font>
      <b/>
      <sz val="18"/>
      <color rgb="FF00B050"/>
      <name val="Arial"/>
      <family val="2"/>
    </font>
    <font>
      <b/>
      <vertAlign val="superscript"/>
      <sz val="10"/>
      <color rgb="FF00B050"/>
      <name val="Arial"/>
      <family val="2"/>
    </font>
    <font>
      <b/>
      <sz val="14"/>
      <color theme="8" tint="-0.499984740745262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0"/>
      <color theme="0"/>
      <name val="Arial"/>
      <family val="2"/>
    </font>
    <font>
      <b/>
      <sz val="14"/>
      <name val="Arial"/>
      <family val="2"/>
    </font>
    <font>
      <b/>
      <sz val="14"/>
      <color rgb="FF00B050"/>
      <name val="Arial"/>
      <family val="2"/>
    </font>
    <font>
      <b/>
      <sz val="12"/>
      <color rgb="FFFF0000"/>
      <name val="Arial"/>
      <family val="2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0"/>
      <color theme="8" tint="-0.249977111117893"/>
      <name val="Arial"/>
      <family val="2"/>
    </font>
    <font>
      <sz val="11"/>
      <color rgb="FFFF00FF"/>
      <name val="Calibri"/>
      <family val="2"/>
      <scheme val="minor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/>
    <xf numFmtId="0" fontId="0" fillId="3" borderId="0" xfId="0" applyFill="1" applyBorder="1"/>
    <xf numFmtId="0" fontId="4" fillId="0" borderId="0" xfId="3"/>
    <xf numFmtId="0" fontId="4" fillId="2" borderId="0" xfId="3" applyFill="1"/>
    <xf numFmtId="0" fontId="3" fillId="2" borderId="0" xfId="3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3" borderId="11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3" borderId="25" xfId="3" applyFont="1" applyFill="1" applyBorder="1" applyAlignment="1">
      <alignment horizontal="center" vertical="center" wrapText="1"/>
    </xf>
    <xf numFmtId="0" fontId="0" fillId="3" borderId="25" xfId="0" applyFill="1" applyBorder="1"/>
    <xf numFmtId="0" fontId="0" fillId="3" borderId="26" xfId="0" applyFill="1" applyBorder="1"/>
    <xf numFmtId="0" fontId="0" fillId="3" borderId="27" xfId="0" applyFill="1" applyBorder="1"/>
    <xf numFmtId="0" fontId="0" fillId="3" borderId="18" xfId="0" applyFill="1" applyBorder="1"/>
    <xf numFmtId="0" fontId="0" fillId="3" borderId="28" xfId="0" applyFill="1" applyBorder="1"/>
    <xf numFmtId="0" fontId="3" fillId="3" borderId="1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/>
    </xf>
    <xf numFmtId="0" fontId="3" fillId="3" borderId="12" xfId="3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3" fillId="2" borderId="14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horizontal="center" vertical="center" wrapText="1"/>
    </xf>
    <xf numFmtId="0" fontId="0" fillId="3" borderId="19" xfId="0" applyFill="1" applyBorder="1"/>
    <xf numFmtId="0" fontId="3" fillId="3" borderId="21" xfId="3" applyFont="1" applyFill="1" applyBorder="1" applyAlignment="1">
      <alignment horizontal="center" vertical="center" wrapText="1"/>
    </xf>
    <xf numFmtId="0" fontId="9" fillId="4" borderId="29" xfId="3" applyFont="1" applyFill="1" applyBorder="1" applyAlignment="1">
      <alignment horizontal="center" vertical="center"/>
    </xf>
    <xf numFmtId="0" fontId="9" fillId="4" borderId="29" xfId="3" applyFont="1" applyFill="1" applyBorder="1" applyAlignment="1">
      <alignment horizontal="center" vertical="center" wrapText="1"/>
    </xf>
    <xf numFmtId="0" fontId="14" fillId="4" borderId="29" xfId="3" applyFont="1" applyFill="1" applyBorder="1" applyAlignment="1">
      <alignment horizontal="center" vertical="center" wrapText="1"/>
    </xf>
    <xf numFmtId="0" fontId="9" fillId="4" borderId="17" xfId="3" applyFont="1" applyFill="1" applyBorder="1" applyAlignment="1">
      <alignment horizontal="center" vertical="center"/>
    </xf>
    <xf numFmtId="0" fontId="4" fillId="3" borderId="0" xfId="3" applyFill="1" applyBorder="1"/>
    <xf numFmtId="0" fontId="9" fillId="4" borderId="34" xfId="3" applyFont="1" applyFill="1" applyBorder="1" applyAlignment="1">
      <alignment horizontal="center" vertical="center"/>
    </xf>
    <xf numFmtId="0" fontId="9" fillId="4" borderId="33" xfId="3" applyFont="1" applyFill="1" applyBorder="1" applyAlignment="1">
      <alignment horizontal="center" vertical="center"/>
    </xf>
    <xf numFmtId="0" fontId="4" fillId="3" borderId="22" xfId="3" applyFill="1" applyBorder="1"/>
    <xf numFmtId="0" fontId="4" fillId="3" borderId="23" xfId="3" applyFill="1" applyBorder="1"/>
    <xf numFmtId="0" fontId="4" fillId="3" borderId="24" xfId="3" applyFill="1" applyBorder="1"/>
    <xf numFmtId="0" fontId="4" fillId="3" borderId="25" xfId="3" applyFill="1" applyBorder="1"/>
    <xf numFmtId="0" fontId="4" fillId="3" borderId="26" xfId="3" applyFill="1" applyBorder="1"/>
    <xf numFmtId="0" fontId="10" fillId="3" borderId="0" xfId="0" applyFont="1" applyFill="1" applyBorder="1"/>
    <xf numFmtId="165" fontId="23" fillId="3" borderId="0" xfId="0" applyNumberFormat="1" applyFont="1" applyFill="1" applyBorder="1" applyAlignment="1">
      <alignment horizontal="left" vertical="center"/>
    </xf>
    <xf numFmtId="0" fontId="11" fillId="3" borderId="0" xfId="0" applyFont="1" applyFill="1" applyBorder="1"/>
    <xf numFmtId="0" fontId="24" fillId="3" borderId="0" xfId="3" applyFont="1" applyFill="1" applyBorder="1" applyAlignment="1">
      <alignment horizontal="center" vertical="center" wrapText="1"/>
    </xf>
    <xf numFmtId="0" fontId="27" fillId="3" borderId="0" xfId="3" applyFont="1" applyFill="1" applyBorder="1" applyAlignment="1">
      <alignment horizontal="center" vertical="center"/>
    </xf>
    <xf numFmtId="0" fontId="4" fillId="0" borderId="0" xfId="3" applyFill="1"/>
    <xf numFmtId="165" fontId="22" fillId="0" borderId="0" xfId="0" applyNumberFormat="1" applyFont="1" applyFill="1" applyBorder="1" applyAlignment="1">
      <alignment horizontal="left" vertical="center"/>
    </xf>
    <xf numFmtId="0" fontId="0" fillId="0" borderId="0" xfId="0" applyFill="1"/>
    <xf numFmtId="0" fontId="7" fillId="3" borderId="8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13" fillId="3" borderId="25" xfId="3" applyFont="1" applyFill="1" applyBorder="1"/>
    <xf numFmtId="0" fontId="13" fillId="3" borderId="0" xfId="3" applyFont="1" applyFill="1" applyBorder="1" applyAlignment="1">
      <alignment horizontal="left"/>
    </xf>
    <xf numFmtId="165" fontId="23" fillId="3" borderId="25" xfId="0" applyNumberFormat="1" applyFont="1" applyFill="1" applyBorder="1" applyAlignment="1">
      <alignment horizontal="left" vertical="center"/>
    </xf>
    <xf numFmtId="0" fontId="28" fillId="3" borderId="0" xfId="0" applyFont="1" applyFill="1" applyBorder="1"/>
    <xf numFmtId="0" fontId="29" fillId="3" borderId="0" xfId="0" applyFont="1" applyFill="1" applyBorder="1"/>
    <xf numFmtId="0" fontId="29" fillId="3" borderId="25" xfId="0" applyFont="1" applyFill="1" applyBorder="1"/>
    <xf numFmtId="0" fontId="13" fillId="3" borderId="0" xfId="3" applyFont="1" applyFill="1" applyBorder="1"/>
    <xf numFmtId="0" fontId="30" fillId="3" borderId="0" xfId="3" applyFont="1" applyFill="1" applyBorder="1"/>
    <xf numFmtId="0" fontId="30" fillId="3" borderId="26" xfId="3" applyFont="1" applyFill="1" applyBorder="1"/>
    <xf numFmtId="0" fontId="30" fillId="0" borderId="0" xfId="3" applyFont="1"/>
    <xf numFmtId="0" fontId="30" fillId="0" borderId="0" xfId="3" applyFont="1" applyFill="1"/>
    <xf numFmtId="0" fontId="28" fillId="3" borderId="26" xfId="0" applyFont="1" applyFill="1" applyBorder="1"/>
    <xf numFmtId="0" fontId="31" fillId="3" borderId="0" xfId="0" applyFont="1" applyFill="1" applyBorder="1"/>
    <xf numFmtId="0" fontId="31" fillId="3" borderId="18" xfId="0" applyFont="1" applyFill="1" applyBorder="1"/>
    <xf numFmtId="0" fontId="31" fillId="0" borderId="0" xfId="0" applyFont="1"/>
    <xf numFmtId="0" fontId="10" fillId="3" borderId="18" xfId="0" applyFont="1" applyFill="1" applyBorder="1"/>
    <xf numFmtId="2" fontId="8" fillId="3" borderId="0" xfId="3" applyNumberFormat="1" applyFont="1" applyFill="1" applyBorder="1" applyAlignment="1">
      <alignment horizontal="left"/>
    </xf>
    <xf numFmtId="0" fontId="12" fillId="5" borderId="29" xfId="3" applyFont="1" applyFill="1" applyBorder="1" applyAlignment="1" applyProtection="1">
      <alignment horizontal="center" vertical="center" wrapText="1"/>
      <protection locked="0"/>
    </xf>
    <xf numFmtId="0" fontId="12" fillId="5" borderId="7" xfId="3" applyFont="1" applyFill="1" applyBorder="1" applyAlignment="1" applyProtection="1">
      <alignment horizontal="center" vertical="center" wrapText="1"/>
      <protection locked="0"/>
    </xf>
    <xf numFmtId="0" fontId="12" fillId="5" borderId="16" xfId="3" applyFont="1" applyFill="1" applyBorder="1" applyAlignment="1" applyProtection="1">
      <alignment horizontal="center" vertical="center" wrapText="1"/>
      <protection locked="0"/>
    </xf>
    <xf numFmtId="0" fontId="12" fillId="5" borderId="20" xfId="3" applyFont="1" applyFill="1" applyBorder="1" applyAlignment="1" applyProtection="1">
      <alignment horizontal="center" vertical="center" wrapText="1"/>
      <protection locked="0"/>
    </xf>
    <xf numFmtId="9" fontId="12" fillId="5" borderId="20" xfId="5" applyFont="1" applyFill="1" applyBorder="1" applyAlignment="1" applyProtection="1">
      <alignment horizontal="center" vertical="center" wrapText="1"/>
      <protection locked="0"/>
    </xf>
    <xf numFmtId="2" fontId="8" fillId="6" borderId="2" xfId="3" applyNumberFormat="1" applyFont="1" applyFill="1" applyBorder="1" applyAlignment="1" applyProtection="1">
      <alignment horizontal="center" vertical="center" wrapText="1"/>
      <protection locked="0"/>
    </xf>
    <xf numFmtId="164" fontId="8" fillId="6" borderId="2" xfId="3" applyNumberFormat="1" applyFont="1" applyFill="1" applyBorder="1" applyAlignment="1" applyProtection="1">
      <alignment horizontal="center" vertical="center" wrapText="1"/>
      <protection locked="0"/>
    </xf>
    <xf numFmtId="2" fontId="8" fillId="6" borderId="35" xfId="3" applyNumberFormat="1" applyFont="1" applyFill="1" applyBorder="1" applyAlignment="1" applyProtection="1">
      <alignment horizontal="center" vertical="center" wrapText="1"/>
      <protection locked="0"/>
    </xf>
    <xf numFmtId="0" fontId="9" fillId="4" borderId="29" xfId="3" applyFont="1" applyFill="1" applyBorder="1" applyAlignment="1">
      <alignment horizontal="center" vertical="center" wrapText="1"/>
    </xf>
    <xf numFmtId="0" fontId="9" fillId="4" borderId="17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/>
    </xf>
    <xf numFmtId="0" fontId="9" fillId="4" borderId="29" xfId="3" applyFont="1" applyFill="1" applyBorder="1" applyAlignment="1">
      <alignment horizontal="center" vertical="center"/>
    </xf>
    <xf numFmtId="0" fontId="9" fillId="4" borderId="12" xfId="3" applyFont="1" applyFill="1" applyBorder="1" applyAlignment="1">
      <alignment horizontal="center" vertical="center"/>
    </xf>
    <xf numFmtId="0" fontId="9" fillId="4" borderId="17" xfId="3" applyFont="1" applyFill="1" applyBorder="1" applyAlignment="1">
      <alignment horizontal="center" vertical="center"/>
    </xf>
    <xf numFmtId="2" fontId="8" fillId="6" borderId="1" xfId="3" applyNumberFormat="1" applyFont="1" applyFill="1" applyBorder="1" applyAlignment="1" applyProtection="1">
      <alignment horizontal="center" vertical="center" wrapText="1"/>
      <protection locked="0"/>
    </xf>
    <xf numFmtId="2" fontId="8" fillId="6" borderId="2" xfId="3" applyNumberFormat="1" applyFont="1" applyFill="1" applyBorder="1" applyAlignment="1" applyProtection="1">
      <alignment horizontal="center" vertical="center" wrapText="1"/>
      <protection locked="0"/>
    </xf>
    <xf numFmtId="0" fontId="25" fillId="3" borderId="25" xfId="3" applyFont="1" applyFill="1" applyBorder="1" applyAlignment="1">
      <alignment horizontal="center" vertical="center"/>
    </xf>
    <xf numFmtId="0" fontId="25" fillId="3" borderId="0" xfId="3" applyFont="1" applyFill="1" applyBorder="1" applyAlignment="1">
      <alignment horizontal="center" vertical="center"/>
    </xf>
    <xf numFmtId="0" fontId="25" fillId="3" borderId="26" xfId="3" applyFont="1" applyFill="1" applyBorder="1" applyAlignment="1">
      <alignment horizontal="center" vertical="center"/>
    </xf>
    <xf numFmtId="0" fontId="27" fillId="3" borderId="25" xfId="3" applyFont="1" applyFill="1" applyBorder="1" applyAlignment="1">
      <alignment horizontal="right" vertical="center"/>
    </xf>
    <xf numFmtId="0" fontId="27" fillId="3" borderId="0" xfId="3" applyFont="1" applyFill="1" applyBorder="1" applyAlignment="1">
      <alignment horizontal="right" vertical="center"/>
    </xf>
    <xf numFmtId="0" fontId="8" fillId="3" borderId="0" xfId="3" applyFont="1" applyFill="1" applyBorder="1" applyAlignment="1">
      <alignment horizontal="center"/>
    </xf>
    <xf numFmtId="0" fontId="26" fillId="4" borderId="22" xfId="3" applyFont="1" applyFill="1" applyBorder="1" applyAlignment="1">
      <alignment horizontal="center" vertical="center" wrapText="1"/>
    </xf>
    <xf numFmtId="0" fontId="25" fillId="4" borderId="23" xfId="3" applyFont="1" applyFill="1" applyBorder="1" applyAlignment="1">
      <alignment horizontal="center" vertical="center" wrapText="1"/>
    </xf>
    <xf numFmtId="0" fontId="25" fillId="4" borderId="25" xfId="3" applyFont="1" applyFill="1" applyBorder="1" applyAlignment="1">
      <alignment horizontal="center" vertical="center" wrapText="1"/>
    </xf>
    <xf numFmtId="0" fontId="25" fillId="4" borderId="0" xfId="3" applyFont="1" applyFill="1" applyBorder="1" applyAlignment="1">
      <alignment horizontal="center" vertical="center" wrapText="1"/>
    </xf>
    <xf numFmtId="0" fontId="25" fillId="4" borderId="27" xfId="3" applyFont="1" applyFill="1" applyBorder="1" applyAlignment="1">
      <alignment horizontal="center" vertical="center" wrapText="1"/>
    </xf>
    <xf numFmtId="0" fontId="25" fillId="4" borderId="18" xfId="3" applyFont="1" applyFill="1" applyBorder="1" applyAlignment="1">
      <alignment horizontal="center" vertical="center" wrapText="1"/>
    </xf>
    <xf numFmtId="0" fontId="12" fillId="5" borderId="30" xfId="3" applyFont="1" applyFill="1" applyBorder="1" applyAlignment="1">
      <alignment horizontal="center" vertical="center" wrapText="1"/>
    </xf>
    <xf numFmtId="0" fontId="12" fillId="5" borderId="31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20" fillId="4" borderId="8" xfId="3" applyFont="1" applyFill="1" applyBorder="1" applyAlignment="1">
      <alignment horizontal="center" vertical="center"/>
    </xf>
    <xf numFmtId="0" fontId="20" fillId="4" borderId="16" xfId="3" applyFont="1" applyFill="1" applyBorder="1" applyAlignment="1">
      <alignment horizontal="center" vertical="center"/>
    </xf>
    <xf numFmtId="0" fontId="20" fillId="4" borderId="32" xfId="3" applyFont="1" applyFill="1" applyBorder="1" applyAlignment="1">
      <alignment horizontal="center" vertical="center"/>
    </xf>
    <xf numFmtId="0" fontId="20" fillId="4" borderId="12" xfId="3" applyFont="1" applyFill="1" applyBorder="1" applyAlignment="1">
      <alignment horizontal="center" vertical="center"/>
    </xf>
    <xf numFmtId="0" fontId="20" fillId="4" borderId="17" xfId="3" applyFont="1" applyFill="1" applyBorder="1" applyAlignment="1">
      <alignment horizontal="center" vertical="center"/>
    </xf>
    <xf numFmtId="0" fontId="20" fillId="4" borderId="33" xfId="3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6">
    <cellStyle name="Millares 2" xfId="2"/>
    <cellStyle name="Millares 3" xfId="4"/>
    <cellStyle name="Normal" xfId="0" builtinId="0"/>
    <cellStyle name="Normal 2" xfId="1"/>
    <cellStyle name="Normal 3" xfId="3"/>
    <cellStyle name="Porcentaje" xfId="5" builtinId="5"/>
  </cellStyles>
  <dxfs count="0"/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442422302504592E-2"/>
          <c:y val="0.10520398238868767"/>
          <c:w val="0.34601849145866487"/>
          <c:h val="0.19029796373437238"/>
        </c:manualLayout>
      </c:layout>
      <c:scatterChart>
        <c:scatterStyle val="lineMarker"/>
        <c:varyColors val="0"/>
        <c:ser>
          <c:idx val="0"/>
          <c:order val="0"/>
          <c:tx>
            <c:strRef>
              <c:f>'TUBERIA PRESION'!$W$2</c:f>
              <c:strCache>
                <c:ptCount val="1"/>
                <c:pt idx="0">
                  <c:v>CUARTO DE MAQUINAS</c:v>
                </c:pt>
              </c:strCache>
            </c:strRef>
          </c:tx>
          <c:spPr>
            <a:ln w="1270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'TUBERIA PRESION'!$W$6:$W$10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'TUBERIA PRESION'!$X$6:$X$10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91648"/>
        <c:axId val="70692224"/>
      </c:scatterChart>
      <c:valAx>
        <c:axId val="70691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92224"/>
        <c:crosses val="autoZero"/>
        <c:crossBetween val="midCat"/>
      </c:valAx>
      <c:valAx>
        <c:axId val="70692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691648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9.3215188524316289E-2"/>
          <c:y val="8.3796732217831557E-2"/>
          <c:w val="0.56490338813239571"/>
          <c:h val="0.21110530828268623"/>
        </c:manualLayout>
      </c:layout>
      <c:overlay val="1"/>
      <c:txPr>
        <a:bodyPr/>
        <a:lstStyle/>
        <a:p>
          <a:pPr>
            <a:defRPr sz="1200" baseline="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084043478047322E-2"/>
          <c:y val="0"/>
          <c:w val="0.59483624513131339"/>
          <c:h val="0.821521675279065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'TUBERIA PRESION'!$W$1</c:f>
              <c:strCache>
                <c:ptCount val="1"/>
                <c:pt idx="0">
                  <c:v>TANQUE DE CARGA</c:v>
                </c:pt>
              </c:strCache>
            </c:strRef>
          </c:tx>
          <c:spPr>
            <a:ln w="1270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'TUBERIA PRESION'!$W$6:$W$10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'TUBERIA PRESION'!$X$6:$X$10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93952"/>
        <c:axId val="70694528"/>
      </c:scatterChart>
      <c:valAx>
        <c:axId val="7069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94528"/>
        <c:crosses val="autoZero"/>
        <c:crossBetween val="midCat"/>
      </c:valAx>
      <c:valAx>
        <c:axId val="70694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693952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528939522684519"/>
          <c:y val="0.18496819010330662"/>
          <c:w val="0.73826308050620293"/>
          <c:h val="0.75147112798873472"/>
        </c:manualLayout>
      </c:layout>
      <c:overlay val="0"/>
      <c:txPr>
        <a:bodyPr/>
        <a:lstStyle/>
        <a:p>
          <a:pPr>
            <a:defRPr sz="1200" baseline="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962668495659106E-2"/>
          <c:y val="1.3267406545564044E-3"/>
          <c:w val="0.78008942177452445"/>
          <c:h val="0.89814814814814814"/>
        </c:manualLayout>
      </c:layout>
      <c:scatterChart>
        <c:scatterStyle val="lineMarker"/>
        <c:varyColors val="0"/>
        <c:ser>
          <c:idx val="0"/>
          <c:order val="0"/>
          <c:tx>
            <c:v>TUBO</c:v>
          </c:tx>
          <c:spPr>
            <a:ln w="69850">
              <a:solidFill>
                <a:srgbClr val="00FFFF"/>
              </a:solidFill>
            </a:ln>
          </c:spPr>
          <c:marker>
            <c:symbol val="none"/>
          </c:marker>
          <c:xVal>
            <c:numRef>
              <c:f>'TUBERIA PRESION'!$E$15:$E$16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'TUBERIA PRESION'!$B$15:$B$16</c:f>
              <c:numCache>
                <c:formatCode>General</c:formatCode>
                <c:ptCount val="2"/>
                <c:pt idx="0">
                  <c:v>80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96256"/>
        <c:axId val="85835776"/>
      </c:scatterChart>
      <c:valAx>
        <c:axId val="70696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835776"/>
        <c:crosses val="autoZero"/>
        <c:crossBetween val="midCat"/>
      </c:valAx>
      <c:valAx>
        <c:axId val="85835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696256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81751972007575"/>
          <c:y val="6.6981929834693714E-3"/>
          <c:w val="0.16638769232589662"/>
          <c:h val="0.93037550947560121"/>
        </c:manualLayout>
      </c:layout>
      <c:scatterChart>
        <c:scatterStyle val="lineMarker"/>
        <c:varyColors val="0"/>
        <c:ser>
          <c:idx val="0"/>
          <c:order val="0"/>
          <c:spPr>
            <a:ln w="15875">
              <a:solidFill>
                <a:schemeClr val="bg1">
                  <a:lumMod val="50000"/>
                </a:schemeClr>
              </a:solidFill>
              <a:headEnd type="diamond"/>
              <a:tailEnd type="diamond"/>
            </a:ln>
          </c:spPr>
          <c:marker>
            <c:symbol val="none"/>
          </c:marker>
          <c:xVal>
            <c:numRef>
              <c:f>'TUBERIA PRESION'!$U$1:$U$2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'TUBERIA PRESION'!$T$1:$T$2</c:f>
              <c:numCache>
                <c:formatCode>General</c:formatCode>
                <c:ptCount val="2"/>
                <c:pt idx="0">
                  <c:v>2</c:v>
                </c:pt>
                <c:pt idx="1">
                  <c:v>0.1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37504"/>
        <c:axId val="85838080"/>
      </c:scatterChart>
      <c:valAx>
        <c:axId val="85837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838080"/>
        <c:crosses val="autoZero"/>
        <c:crossBetween val="midCat"/>
      </c:valAx>
      <c:valAx>
        <c:axId val="85838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5837504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320976446260159E-2"/>
          <c:y val="8.668146069160941E-2"/>
          <c:w val="0.66734521907180033"/>
          <c:h val="0.67776972645460698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chemeClr val="bg1">
                  <a:lumMod val="50000"/>
                </a:schemeClr>
              </a:solidFill>
              <a:headEnd type="diamond" w="lg" len="lg"/>
              <a:tailEnd type="diamond" w="lg" len="lg"/>
            </a:ln>
          </c:spPr>
          <c:marker>
            <c:symbol val="none"/>
          </c:marker>
          <c:xVal>
            <c:numRef>
              <c:f>'TUBERIA PRESION'!$U$5:$U$6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'TUBERIA PRESION'!$T$5:$T$6</c:f>
              <c:numCache>
                <c:formatCode>General</c:formatCode>
                <c:ptCount val="2"/>
                <c:pt idx="0">
                  <c:v>80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39808"/>
        <c:axId val="85840384"/>
      </c:scatterChart>
      <c:valAx>
        <c:axId val="8583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840384"/>
        <c:crosses val="autoZero"/>
        <c:crossBetween val="midCat"/>
      </c:valAx>
      <c:valAx>
        <c:axId val="85840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5839808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347382</xdr:colOff>
      <xdr:row>12</xdr:row>
      <xdr:rowOff>190497</xdr:rowOff>
    </xdr:from>
    <xdr:to>
      <xdr:col>17</xdr:col>
      <xdr:colOff>470647</xdr:colOff>
      <xdr:row>19</xdr:row>
      <xdr:rowOff>201703</xdr:rowOff>
    </xdr:to>
    <xdr:graphicFrame macro="">
      <xdr:nvGraphicFramePr>
        <xdr:cNvPr id="74" name="7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544606</xdr:colOff>
      <xdr:row>1</xdr:row>
      <xdr:rowOff>60512</xdr:rowOff>
    </xdr:from>
    <xdr:to>
      <xdr:col>10</xdr:col>
      <xdr:colOff>289112</xdr:colOff>
      <xdr:row>3</xdr:row>
      <xdr:rowOff>22412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3959" y="251012"/>
          <a:ext cx="1638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218514</xdr:colOff>
      <xdr:row>1</xdr:row>
      <xdr:rowOff>12886</xdr:rowOff>
    </xdr:from>
    <xdr:to>
      <xdr:col>2</xdr:col>
      <xdr:colOff>95249</xdr:colOff>
      <xdr:row>3</xdr:row>
      <xdr:rowOff>12886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514" y="203386"/>
          <a:ext cx="13335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723900</xdr:colOff>
          <xdr:row>6</xdr:row>
          <xdr:rowOff>180975</xdr:rowOff>
        </xdr:from>
        <xdr:to>
          <xdr:col>10</xdr:col>
          <xdr:colOff>390525</xdr:colOff>
          <xdr:row>8</xdr:row>
          <xdr:rowOff>266700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200" b="1" i="0" u="none" strike="noStrike" baseline="0">
                  <a:solidFill>
                    <a:srgbClr val="000000"/>
                  </a:solidFill>
                  <a:latin typeface="Calibri"/>
                </a:rPr>
                <a:t>LIMPIAR DATOS</a:t>
              </a:r>
              <a:endParaRPr lang="es-CO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723900</xdr:colOff>
          <xdr:row>9</xdr:row>
          <xdr:rowOff>142875</xdr:rowOff>
        </xdr:from>
        <xdr:to>
          <xdr:col>10</xdr:col>
          <xdr:colOff>390525</xdr:colOff>
          <xdr:row>10</xdr:row>
          <xdr:rowOff>295275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200" b="1" i="0" u="none" strike="noStrike" baseline="0">
                  <a:solidFill>
                    <a:srgbClr val="000000"/>
                  </a:solidFill>
                  <a:latin typeface="Calibri"/>
                </a:rPr>
                <a:t>CALCULAR</a:t>
              </a:r>
              <a:endParaRPr lang="es-CO"/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556368</xdr:colOff>
      <xdr:row>4</xdr:row>
      <xdr:rowOff>22412</xdr:rowOff>
    </xdr:from>
    <xdr:to>
      <xdr:col>14</xdr:col>
      <xdr:colOff>235321</xdr:colOff>
      <xdr:row>7</xdr:row>
      <xdr:rowOff>128865</xdr:rowOff>
    </xdr:to>
    <xdr:graphicFrame macro="">
      <xdr:nvGraphicFramePr>
        <xdr:cNvPr id="67" name="6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627531</xdr:colOff>
      <xdr:row>5</xdr:row>
      <xdr:rowOff>165686</xdr:rowOff>
    </xdr:from>
    <xdr:to>
      <xdr:col>17</xdr:col>
      <xdr:colOff>297757</xdr:colOff>
      <xdr:row>15</xdr:row>
      <xdr:rowOff>48824</xdr:rowOff>
    </xdr:to>
    <xdr:graphicFrame macro="">
      <xdr:nvGraphicFramePr>
        <xdr:cNvPr id="21" name="2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234522</xdr:colOff>
      <xdr:row>4</xdr:row>
      <xdr:rowOff>95249</xdr:rowOff>
    </xdr:from>
    <xdr:to>
      <xdr:col>12</xdr:col>
      <xdr:colOff>559491</xdr:colOff>
      <xdr:row>16</xdr:row>
      <xdr:rowOff>72839</xdr:rowOff>
    </xdr:to>
    <xdr:graphicFrame macro="">
      <xdr:nvGraphicFramePr>
        <xdr:cNvPr id="70" name="6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198503</xdr:colOff>
      <xdr:row>4</xdr:row>
      <xdr:rowOff>153680</xdr:rowOff>
    </xdr:from>
    <xdr:to>
      <xdr:col>18</xdr:col>
      <xdr:colOff>363391</xdr:colOff>
      <xdr:row>16</xdr:row>
      <xdr:rowOff>235324</xdr:rowOff>
    </xdr:to>
    <xdr:graphicFrame macro="">
      <xdr:nvGraphicFramePr>
        <xdr:cNvPr id="71" name="7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X37"/>
  <sheetViews>
    <sheetView tabSelected="1" zoomScale="85" zoomScaleNormal="85" workbookViewId="0">
      <selection sqref="A1:K4"/>
    </sheetView>
  </sheetViews>
  <sheetFormatPr baseColWidth="10" defaultRowHeight="15" x14ac:dyDescent="0.25"/>
  <cols>
    <col min="1" max="1" width="14.28515625" style="1" bestFit="1" customWidth="1"/>
    <col min="2" max="2" width="7.5703125" style="1" customWidth="1"/>
    <col min="3" max="3" width="11.42578125" style="1"/>
    <col min="4" max="4" width="12" style="1" bestFit="1" customWidth="1"/>
    <col min="5" max="5" width="12.28515625" style="1" customWidth="1"/>
    <col min="6" max="6" width="18.42578125" style="1" customWidth="1"/>
    <col min="7" max="7" width="16.140625" style="1" bestFit="1" customWidth="1"/>
    <col min="8" max="8" width="15.140625" style="1" customWidth="1"/>
    <col min="9" max="9" width="17" style="1" customWidth="1"/>
    <col min="10" max="10" width="11.42578125" style="1"/>
    <col min="11" max="11" width="9" style="1" bestFit="1" customWidth="1"/>
    <col min="12" max="18" width="9.7109375" style="1" customWidth="1"/>
    <col min="19" max="16384" width="11.42578125" style="1"/>
  </cols>
  <sheetData>
    <row r="1" spans="1:24" ht="15" customHeight="1" x14ac:dyDescent="0.25">
      <c r="A1" s="101" t="s">
        <v>46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47"/>
      <c r="M1" s="48"/>
      <c r="N1" s="48"/>
      <c r="O1" s="48"/>
      <c r="P1" s="48"/>
      <c r="Q1" s="48"/>
      <c r="R1" s="49"/>
      <c r="S1" s="3"/>
      <c r="T1" s="1">
        <f>++IF(B14="","",2)</f>
        <v>2</v>
      </c>
      <c r="U1" s="1">
        <f>++IF(B15="","",2)</f>
        <v>2</v>
      </c>
      <c r="W1" s="1" t="str">
        <f>+IF(B15="","","TANQUE DE CARGA")</f>
        <v>TANQUE DE CARGA</v>
      </c>
    </row>
    <row r="2" spans="1:24" x14ac:dyDescent="0.25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95" t="s">
        <v>51</v>
      </c>
      <c r="M2" s="96"/>
      <c r="N2" s="96"/>
      <c r="O2" s="96"/>
      <c r="P2" s="96"/>
      <c r="Q2" s="96"/>
      <c r="R2" s="97"/>
      <c r="S2" s="3"/>
      <c r="T2" s="1">
        <f>+IF(B15="","",0.1)</f>
        <v>0.1</v>
      </c>
      <c r="U2" s="1">
        <f>++IF(B15="","",2)</f>
        <v>2</v>
      </c>
      <c r="W2" s="1" t="str">
        <f>+IF(B15="","","CUARTO DE MAQUINAS")</f>
        <v>CUARTO DE MAQUINAS</v>
      </c>
    </row>
    <row r="3" spans="1:24" x14ac:dyDescent="0.2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95"/>
      <c r="M3" s="96"/>
      <c r="N3" s="96"/>
      <c r="O3" s="96"/>
      <c r="P3" s="96"/>
      <c r="Q3" s="96"/>
      <c r="R3" s="97"/>
      <c r="S3" s="3"/>
    </row>
    <row r="4" spans="1:24" ht="15.75" thickBot="1" x14ac:dyDescent="0.3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95"/>
      <c r="M4" s="96"/>
      <c r="N4" s="96"/>
      <c r="O4" s="96"/>
      <c r="P4" s="96"/>
      <c r="Q4" s="96"/>
      <c r="R4" s="97"/>
      <c r="S4" s="3"/>
    </row>
    <row r="5" spans="1:24" ht="15.75" customHeight="1" x14ac:dyDescent="0.25">
      <c r="A5" s="107" t="s">
        <v>13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50"/>
      <c r="M5" s="44"/>
      <c r="N5" s="44"/>
      <c r="O5" s="44"/>
      <c r="P5" s="44"/>
      <c r="Q5" s="44"/>
      <c r="R5" s="51"/>
      <c r="S5" s="3"/>
      <c r="T5" s="1">
        <f>++IF(B15="","",B15)</f>
        <v>80</v>
      </c>
      <c r="U5" s="1">
        <f>++IF(B15="","",0)</f>
        <v>0</v>
      </c>
      <c r="W5" s="74"/>
      <c r="X5" s="74"/>
    </row>
    <row r="6" spans="1:24" ht="15.75" customHeight="1" thickBot="1" x14ac:dyDescent="0.3">
      <c r="A6" s="23"/>
      <c r="B6" s="30"/>
      <c r="C6" s="30"/>
      <c r="D6" s="30"/>
      <c r="E6" s="30"/>
      <c r="F6" s="30"/>
      <c r="G6" s="30"/>
      <c r="H6" s="30"/>
      <c r="I6" s="30"/>
      <c r="J6" s="30"/>
      <c r="K6" s="30"/>
      <c r="L6" s="50"/>
      <c r="M6" s="44"/>
      <c r="N6" s="44"/>
      <c r="O6" s="44"/>
      <c r="P6" s="44"/>
      <c r="Q6" s="44"/>
      <c r="R6" s="51"/>
      <c r="S6" s="3"/>
      <c r="T6" s="1">
        <f>+IF(B15="","",0)</f>
        <v>0</v>
      </c>
      <c r="U6" s="1">
        <f>++IF(B15="","",1)</f>
        <v>1</v>
      </c>
      <c r="W6" s="75">
        <v>0</v>
      </c>
      <c r="X6" s="75">
        <v>0</v>
      </c>
    </row>
    <row r="7" spans="1:24" ht="15.75" thickBot="1" x14ac:dyDescent="0.3">
      <c r="A7" s="109" t="s">
        <v>26</v>
      </c>
      <c r="B7" s="110"/>
      <c r="C7" s="111"/>
      <c r="D7" s="5"/>
      <c r="E7" s="5"/>
      <c r="F7" s="109" t="s">
        <v>27</v>
      </c>
      <c r="G7" s="110"/>
      <c r="H7" s="111"/>
      <c r="I7" s="5"/>
      <c r="J7" s="5"/>
      <c r="K7" s="5"/>
      <c r="L7" s="50"/>
      <c r="M7" s="44"/>
      <c r="N7" s="44"/>
      <c r="O7" s="44"/>
      <c r="P7" s="44"/>
      <c r="Q7" s="44"/>
      <c r="R7" s="51"/>
      <c r="S7" s="3"/>
      <c r="W7" s="74">
        <f>+IF($B$15="","",1)</f>
        <v>1</v>
      </c>
      <c r="X7" s="74">
        <v>0</v>
      </c>
    </row>
    <row r="8" spans="1:24" x14ac:dyDescent="0.25">
      <c r="A8" s="34" t="s">
        <v>7</v>
      </c>
      <c r="B8" s="79" t="s">
        <v>14</v>
      </c>
      <c r="C8" s="35" t="s">
        <v>18</v>
      </c>
      <c r="D8" s="5"/>
      <c r="E8" s="5"/>
      <c r="F8" s="36" t="s">
        <v>25</v>
      </c>
      <c r="G8" s="79" t="s">
        <v>38</v>
      </c>
      <c r="H8" s="37"/>
      <c r="I8" s="5"/>
      <c r="J8" s="5"/>
      <c r="K8" s="5"/>
      <c r="L8" s="50"/>
      <c r="M8" s="44"/>
      <c r="N8" s="44"/>
      <c r="O8" s="44"/>
      <c r="P8" s="44"/>
      <c r="Q8" s="44"/>
      <c r="R8" s="51"/>
      <c r="S8" s="3"/>
      <c r="W8" s="74">
        <f>+IF($B$15="","",1)</f>
        <v>1</v>
      </c>
      <c r="X8" s="74">
        <f>+IF($B$15="","",1)</f>
        <v>1</v>
      </c>
    </row>
    <row r="9" spans="1:24" ht="25.5" x14ac:dyDescent="0.25">
      <c r="A9" s="29" t="s">
        <v>11</v>
      </c>
      <c r="B9" s="80">
        <v>2000</v>
      </c>
      <c r="C9" s="14" t="s">
        <v>6</v>
      </c>
      <c r="D9" s="5"/>
      <c r="E9" s="5"/>
      <c r="F9" s="29" t="s">
        <v>28</v>
      </c>
      <c r="G9" s="80">
        <v>10</v>
      </c>
      <c r="H9" s="14" t="s">
        <v>10</v>
      </c>
      <c r="I9" s="5"/>
      <c r="J9" s="5"/>
      <c r="K9" s="5"/>
      <c r="L9" s="50"/>
      <c r="M9" s="44"/>
      <c r="N9" s="44"/>
      <c r="O9" s="2"/>
      <c r="P9" s="2"/>
      <c r="Q9" s="2"/>
      <c r="R9" s="25"/>
      <c r="W9" s="74">
        <v>0</v>
      </c>
      <c r="X9" s="74">
        <f>+IF($B$15="","",1)</f>
        <v>1</v>
      </c>
    </row>
    <row r="10" spans="1:24" ht="26.25" thickBot="1" x14ac:dyDescent="0.3">
      <c r="A10" s="29" t="s">
        <v>0</v>
      </c>
      <c r="B10" s="80">
        <v>12</v>
      </c>
      <c r="C10" s="14" t="s">
        <v>19</v>
      </c>
      <c r="D10" s="5"/>
      <c r="E10" s="5"/>
      <c r="F10" s="31" t="s">
        <v>8</v>
      </c>
      <c r="G10" s="32">
        <f>IF(G9="","",VLOOKUP(G9,TABLAS!$B$11:$E$24,4,FALSE))</f>
        <v>1.3073922176652995E-6</v>
      </c>
      <c r="H10" s="33" t="s">
        <v>20</v>
      </c>
      <c r="I10" s="5"/>
      <c r="J10" s="5"/>
      <c r="K10" s="5"/>
      <c r="L10" s="50"/>
      <c r="M10" s="44"/>
      <c r="N10" s="44"/>
      <c r="O10" s="68" t="str">
        <f>+IF(B14="","","LONGITUD [m] =")</f>
        <v>LONGITUD [m] =</v>
      </c>
      <c r="P10" s="63">
        <f>+IF(B14="","",B14)</f>
        <v>120</v>
      </c>
      <c r="Q10" s="69"/>
      <c r="R10" s="70"/>
      <c r="S10" s="71"/>
      <c r="W10" s="74">
        <v>0</v>
      </c>
      <c r="X10" s="74">
        <v>0</v>
      </c>
    </row>
    <row r="11" spans="1:24" ht="26.25" thickBot="1" x14ac:dyDescent="0.3">
      <c r="A11" s="31" t="s">
        <v>5</v>
      </c>
      <c r="B11" s="32">
        <f>IF(B8="","",VLOOKUP(B8,TABLAS!$A$3:$B$5,2,FALSE))</f>
        <v>2.3E-2</v>
      </c>
      <c r="C11" s="33" t="s">
        <v>6</v>
      </c>
      <c r="D11" s="5"/>
      <c r="E11" s="5"/>
      <c r="F11" s="2"/>
      <c r="G11" s="2"/>
      <c r="H11" s="2"/>
      <c r="I11" s="5"/>
      <c r="J11" s="5"/>
      <c r="K11" s="5"/>
      <c r="L11" s="50"/>
      <c r="M11" s="44"/>
      <c r="N11" s="44"/>
      <c r="O11" s="53"/>
      <c r="P11" s="65"/>
      <c r="Q11" s="69"/>
      <c r="R11" s="70"/>
      <c r="S11" s="71"/>
      <c r="T11" s="3"/>
      <c r="U11" s="3"/>
      <c r="V11" s="3"/>
      <c r="W11" s="4"/>
    </row>
    <row r="12" spans="1:24" ht="15.75" thickBot="1" x14ac:dyDescent="0.3">
      <c r="A12" s="24"/>
      <c r="B12" s="2"/>
      <c r="C12" s="2"/>
      <c r="D12" s="5"/>
      <c r="E12" s="15"/>
      <c r="F12" s="109" t="s">
        <v>30</v>
      </c>
      <c r="G12" s="110"/>
      <c r="H12" s="111"/>
      <c r="I12" s="5"/>
      <c r="J12" s="5"/>
      <c r="K12" s="5"/>
      <c r="L12" s="62" t="str">
        <f>+IF(B15="","","CAIDA [m] =")</f>
        <v>CAIDA [m] =</v>
      </c>
      <c r="M12" s="63">
        <f>+IF(B15="","",B15)</f>
        <v>80</v>
      </c>
      <c r="N12" s="2"/>
      <c r="O12" s="65"/>
      <c r="P12" s="65"/>
      <c r="Q12" s="69"/>
      <c r="R12" s="70"/>
      <c r="S12" s="72"/>
      <c r="T12" s="57"/>
      <c r="U12" s="3"/>
      <c r="V12" s="3"/>
      <c r="W12" s="4"/>
    </row>
    <row r="13" spans="1:24" ht="19.5" thickBot="1" x14ac:dyDescent="0.3">
      <c r="A13" s="109" t="s">
        <v>29</v>
      </c>
      <c r="B13" s="110"/>
      <c r="C13" s="111"/>
      <c r="D13" s="5"/>
      <c r="E13" s="5"/>
      <c r="F13" s="38" t="s">
        <v>24</v>
      </c>
      <c r="G13" s="83">
        <v>0.9</v>
      </c>
      <c r="H13" s="39" t="s">
        <v>4</v>
      </c>
      <c r="I13" s="5"/>
      <c r="J13" s="5"/>
      <c r="K13" s="5"/>
      <c r="L13" s="64"/>
      <c r="M13" s="66"/>
      <c r="N13" s="2"/>
      <c r="O13" s="65"/>
      <c r="P13" s="65"/>
      <c r="Q13" s="65"/>
      <c r="R13" s="73"/>
      <c r="S13" s="72"/>
      <c r="T13" s="57"/>
      <c r="U13" s="3"/>
      <c r="V13" s="3"/>
      <c r="W13" s="4"/>
    </row>
    <row r="14" spans="1:24" ht="18.75" x14ac:dyDescent="0.25">
      <c r="A14" s="60" t="s">
        <v>1</v>
      </c>
      <c r="B14" s="81">
        <v>120</v>
      </c>
      <c r="C14" s="61" t="s">
        <v>2</v>
      </c>
      <c r="D14" s="5"/>
      <c r="E14" s="5"/>
      <c r="F14" s="30"/>
      <c r="G14" s="30"/>
      <c r="H14" s="30"/>
      <c r="I14" s="5"/>
      <c r="J14" s="5"/>
      <c r="K14" s="5"/>
      <c r="L14" s="67"/>
      <c r="M14" s="66"/>
      <c r="N14" s="2"/>
      <c r="O14" s="2"/>
      <c r="P14" s="2"/>
      <c r="Q14" s="2"/>
      <c r="R14" s="25"/>
      <c r="S14" s="58" t="str">
        <f>+IF(G12="","",G12)</f>
        <v/>
      </c>
      <c r="T14" s="57"/>
      <c r="U14" s="3"/>
      <c r="V14" s="3"/>
      <c r="W14" s="4"/>
    </row>
    <row r="15" spans="1:24" ht="15.75" thickBot="1" x14ac:dyDescent="0.3">
      <c r="A15" s="31" t="s">
        <v>12</v>
      </c>
      <c r="B15" s="82">
        <v>80</v>
      </c>
      <c r="C15" s="33" t="s">
        <v>2</v>
      </c>
      <c r="D15" s="5"/>
      <c r="E15" s="55">
        <v>0</v>
      </c>
      <c r="F15" s="5"/>
      <c r="G15" s="5"/>
      <c r="H15" s="5"/>
      <c r="I15" s="5"/>
      <c r="J15" s="5"/>
      <c r="K15" s="5"/>
      <c r="L15" s="67"/>
      <c r="M15" s="66"/>
      <c r="N15" s="2"/>
      <c r="O15" s="2"/>
      <c r="P15" s="2"/>
      <c r="Q15" s="2"/>
      <c r="R15" s="25"/>
      <c r="S15" s="57"/>
      <c r="T15" s="57"/>
      <c r="U15" s="3"/>
      <c r="V15" s="3"/>
      <c r="W15" s="4"/>
    </row>
    <row r="16" spans="1:24" ht="15.75" thickBot="1" x14ac:dyDescent="0.3">
      <c r="A16" s="24"/>
      <c r="B16" s="54">
        <v>0</v>
      </c>
      <c r="C16" s="54"/>
      <c r="D16" s="2"/>
      <c r="E16" s="54">
        <v>1</v>
      </c>
      <c r="F16" s="2"/>
      <c r="G16" s="2"/>
      <c r="H16" s="2"/>
      <c r="I16" s="2"/>
      <c r="J16" s="2"/>
      <c r="K16" s="2"/>
      <c r="L16" s="67"/>
      <c r="M16" s="66"/>
      <c r="N16" s="2"/>
      <c r="O16" s="2"/>
      <c r="P16" s="2"/>
      <c r="Q16" s="2"/>
      <c r="R16" s="25"/>
      <c r="S16" s="59"/>
      <c r="T16" s="59"/>
    </row>
    <row r="17" spans="1:20" ht="25.5" customHeight="1" x14ac:dyDescent="0.25">
      <c r="A17" s="112" t="s">
        <v>41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4"/>
      <c r="L17" s="98"/>
      <c r="M17" s="99"/>
      <c r="N17" s="99"/>
      <c r="O17" s="99"/>
      <c r="P17" s="99"/>
      <c r="Q17" s="56"/>
      <c r="R17" s="25"/>
      <c r="S17" s="59"/>
      <c r="T17" s="59"/>
    </row>
    <row r="18" spans="1:20" ht="25.5" customHeight="1" thickBot="1" x14ac:dyDescent="0.3">
      <c r="A18" s="115"/>
      <c r="B18" s="116"/>
      <c r="C18" s="116"/>
      <c r="D18" s="116"/>
      <c r="E18" s="116"/>
      <c r="F18" s="116"/>
      <c r="G18" s="116"/>
      <c r="H18" s="116"/>
      <c r="I18" s="116"/>
      <c r="J18" s="116"/>
      <c r="K18" s="117"/>
      <c r="L18" s="67"/>
      <c r="M18" s="100" t="str">
        <f>+IF(C21="","","POTENCIA GENERADA [Mw] =")</f>
        <v>POTENCIA GENERADA [Mw] =</v>
      </c>
      <c r="N18" s="100"/>
      <c r="O18" s="100"/>
      <c r="P18" s="78">
        <f>+IF(K21="","",K21)</f>
        <v>8.317859228168901</v>
      </c>
      <c r="Q18" s="52"/>
      <c r="R18" s="25"/>
    </row>
    <row r="19" spans="1:20" ht="41.25" customHeight="1" x14ac:dyDescent="0.25">
      <c r="A19" s="89" t="str">
        <f>+A9</f>
        <v xml:space="preserve">Diametro </v>
      </c>
      <c r="B19" s="90"/>
      <c r="C19" s="40" t="s">
        <v>42</v>
      </c>
      <c r="D19" s="40" t="s">
        <v>12</v>
      </c>
      <c r="E19" s="40" t="s">
        <v>43</v>
      </c>
      <c r="F19" s="87" t="s">
        <v>44</v>
      </c>
      <c r="G19" s="87" t="s">
        <v>47</v>
      </c>
      <c r="H19" s="41" t="s">
        <v>48</v>
      </c>
      <c r="I19" s="42" t="s">
        <v>49</v>
      </c>
      <c r="J19" s="40" t="s">
        <v>21</v>
      </c>
      <c r="K19" s="45" t="s">
        <v>22</v>
      </c>
      <c r="L19" s="24"/>
      <c r="M19" s="52"/>
      <c r="N19" s="52"/>
      <c r="O19" s="52"/>
      <c r="P19" s="52"/>
      <c r="Q19" s="52"/>
      <c r="R19" s="25"/>
    </row>
    <row r="20" spans="1:20" ht="25.5" customHeight="1" thickBot="1" x14ac:dyDescent="0.3">
      <c r="A20" s="91" t="s">
        <v>2</v>
      </c>
      <c r="B20" s="92"/>
      <c r="C20" s="43" t="s">
        <v>50</v>
      </c>
      <c r="D20" s="43" t="s">
        <v>2</v>
      </c>
      <c r="E20" s="43" t="s">
        <v>3</v>
      </c>
      <c r="F20" s="88"/>
      <c r="G20" s="88"/>
      <c r="H20" s="43" t="s">
        <v>2</v>
      </c>
      <c r="I20" s="43" t="s">
        <v>2</v>
      </c>
      <c r="J20" s="43" t="s">
        <v>2</v>
      </c>
      <c r="K20" s="46" t="s">
        <v>23</v>
      </c>
      <c r="L20" s="24"/>
      <c r="M20" s="52"/>
      <c r="N20" s="52"/>
      <c r="O20" s="52"/>
      <c r="P20" s="52"/>
      <c r="Q20" s="52"/>
      <c r="R20" s="25"/>
    </row>
    <row r="21" spans="1:20" ht="15.75" thickBot="1" x14ac:dyDescent="0.3">
      <c r="A21" s="93">
        <f>+IF(B9="","",B9/1000)</f>
        <v>2</v>
      </c>
      <c r="B21" s="94"/>
      <c r="C21" s="84">
        <f>IF(B9="","",PI()*(A21/2)^2)</f>
        <v>3.1415926535897931</v>
      </c>
      <c r="D21" s="84">
        <f>+IF(B15="","",B15)</f>
        <v>80</v>
      </c>
      <c r="E21" s="84">
        <f>IF(B10="","",($B$10/C21))</f>
        <v>3.8197186342054881</v>
      </c>
      <c r="F21" s="84">
        <f>IF(B10="","",(E21*A21)/G10)</f>
        <v>5843263.5326935379</v>
      </c>
      <c r="G21" s="85">
        <f>IF(B10="","",fdarcy(B11/1000,A21,F21))</f>
        <v>9.5206220417701666E-3</v>
      </c>
      <c r="H21" s="84">
        <f>IF(B10="","",G21*(B14/A21)*((E21^2)/(2*9.81)))</f>
        <v>0.42479590206979106</v>
      </c>
      <c r="I21" s="84">
        <f>IF(B10="","",H21*0.2)</f>
        <v>8.4959180413958224E-2</v>
      </c>
      <c r="J21" s="84">
        <f>IF(B10="","",D21-H21-I21)</f>
        <v>79.49024491751625</v>
      </c>
      <c r="K21" s="86">
        <f>IF(B10="","",((J21*B10*9810)/G13)/(10^6*1.25))</f>
        <v>8.317859228168901</v>
      </c>
      <c r="L21" s="24"/>
      <c r="M21" s="52"/>
      <c r="N21" s="52"/>
      <c r="O21" s="52"/>
      <c r="P21" s="52"/>
      <c r="Q21" s="52"/>
      <c r="R21" s="25"/>
    </row>
    <row r="22" spans="1:20" ht="15.75" thickBot="1" x14ac:dyDescent="0.3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6"/>
      <c r="M22" s="77"/>
      <c r="N22" s="77"/>
      <c r="O22" s="77"/>
      <c r="P22" s="77"/>
      <c r="Q22" s="77"/>
      <c r="R22" s="28"/>
    </row>
    <row r="37" spans="9:10" x14ac:dyDescent="0.25">
      <c r="I37" s="76"/>
      <c r="J37" s="76"/>
    </row>
  </sheetData>
  <sheetProtection password="D1CD" sheet="1" scenarios="1" formatCells="0" formatColumns="0" formatRows="0" insertColumns="0" insertRows="0" insertHyperlinks="0" deleteColumns="0" deleteRows="0" sort="0" autoFilter="0" pivotTables="0"/>
  <dataConsolidate/>
  <mergeCells count="15">
    <mergeCell ref="L2:R4"/>
    <mergeCell ref="L17:P17"/>
    <mergeCell ref="M18:O18"/>
    <mergeCell ref="A1:K4"/>
    <mergeCell ref="A5:K5"/>
    <mergeCell ref="A7:C7"/>
    <mergeCell ref="F7:H7"/>
    <mergeCell ref="F12:H12"/>
    <mergeCell ref="A13:C13"/>
    <mergeCell ref="A17:K18"/>
    <mergeCell ref="F19:F20"/>
    <mergeCell ref="G19:G20"/>
    <mergeCell ref="A19:B19"/>
    <mergeCell ref="A20:B20"/>
    <mergeCell ref="A21:B21"/>
  </mergeCells>
  <pageMargins left="0.7" right="0.7" top="0.75" bottom="0.75" header="0.3" footer="0.3"/>
  <pageSetup paperSize="119" scale="4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LIMPIAR">
                <anchor moveWithCells="1" sizeWithCells="1">
                  <from>
                    <xdr:col>8</xdr:col>
                    <xdr:colOff>723900</xdr:colOff>
                    <xdr:row>6</xdr:row>
                    <xdr:rowOff>180975</xdr:rowOff>
                  </from>
                  <to>
                    <xdr:col>10</xdr:col>
                    <xdr:colOff>390525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CALCULAR">
                <anchor moveWithCells="1" sizeWithCells="1">
                  <from>
                    <xdr:col>8</xdr:col>
                    <xdr:colOff>723900</xdr:colOff>
                    <xdr:row>9</xdr:row>
                    <xdr:rowOff>142875</xdr:rowOff>
                  </from>
                  <to>
                    <xdr:col>10</xdr:col>
                    <xdr:colOff>390525</xdr:colOff>
                    <xdr:row>10</xdr:row>
                    <xdr:rowOff>295275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TABLAS!$A$11</xm:f>
          </x14:formula1>
          <xm:sqref>G8</xm:sqref>
        </x14:dataValidation>
        <x14:dataValidation type="list" allowBlank="1" showInputMessage="1" showErrorMessage="1">
          <x14:formula1>
            <xm:f>TABLAS!$B$11:$B$24</xm:f>
          </x14:formula1>
          <xm:sqref>G9</xm:sqref>
        </x14:dataValidation>
        <x14:dataValidation type="list" allowBlank="1" showInputMessage="1" showErrorMessage="1">
          <x14:formula1>
            <xm:f>TABLAS!A$3:A$5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24"/>
  <sheetViews>
    <sheetView workbookViewId="0">
      <selection activeCell="B4" sqref="B4"/>
    </sheetView>
  </sheetViews>
  <sheetFormatPr baseColWidth="10" defaultRowHeight="15" x14ac:dyDescent="0.25"/>
  <cols>
    <col min="2" max="2" width="14" bestFit="1" customWidth="1"/>
    <col min="3" max="3" width="22.140625" bestFit="1" customWidth="1"/>
    <col min="5" max="5" width="23.85546875" bestFit="1" customWidth="1"/>
  </cols>
  <sheetData>
    <row r="1" spans="1:6" s="1" customFormat="1" x14ac:dyDescent="0.25">
      <c r="A1" s="123" t="s">
        <v>39</v>
      </c>
      <c r="B1" s="124"/>
      <c r="C1" s="125"/>
    </row>
    <row r="2" spans="1:6" x14ac:dyDescent="0.25">
      <c r="A2" s="22" t="s">
        <v>7</v>
      </c>
      <c r="B2" s="7" t="s">
        <v>15</v>
      </c>
      <c r="C2" s="17" t="s">
        <v>45</v>
      </c>
    </row>
    <row r="3" spans="1:6" x14ac:dyDescent="0.25">
      <c r="A3" s="10" t="s">
        <v>14</v>
      </c>
      <c r="B3" s="8">
        <v>2.3E-2</v>
      </c>
      <c r="C3" s="11">
        <v>8.9999999999999993E-3</v>
      </c>
    </row>
    <row r="4" spans="1:6" x14ac:dyDescent="0.25">
      <c r="A4" s="10" t="s">
        <v>16</v>
      </c>
      <c r="B4" s="8">
        <v>1.5E-3</v>
      </c>
      <c r="C4" s="11">
        <v>8.9999999999999993E-3</v>
      </c>
    </row>
    <row r="5" spans="1:6" ht="15.75" thickBot="1" x14ac:dyDescent="0.3">
      <c r="A5" s="12" t="s">
        <v>17</v>
      </c>
      <c r="B5" s="20">
        <v>7.0000000000000001E-3</v>
      </c>
      <c r="C5" s="13">
        <v>1.2E-2</v>
      </c>
    </row>
    <row r="6" spans="1:6" s="1" customFormat="1" x14ac:dyDescent="0.25">
      <c r="A6" s="21"/>
      <c r="B6" s="21"/>
    </row>
    <row r="7" spans="1:6" s="1" customFormat="1" ht="15.75" thickBot="1" x14ac:dyDescent="0.3">
      <c r="A7" s="21"/>
      <c r="B7" s="21"/>
    </row>
    <row r="8" spans="1:6" ht="15.75" thickBot="1" x14ac:dyDescent="0.3">
      <c r="A8" s="120" t="s">
        <v>40</v>
      </c>
      <c r="B8" s="121"/>
      <c r="C8" s="121"/>
      <c r="D8" s="121"/>
      <c r="E8" s="122"/>
    </row>
    <row r="9" spans="1:6" x14ac:dyDescent="0.25">
      <c r="A9" s="118" t="s">
        <v>31</v>
      </c>
      <c r="B9" s="16" t="s">
        <v>32</v>
      </c>
      <c r="C9" s="16" t="s">
        <v>35</v>
      </c>
      <c r="D9" s="16" t="s">
        <v>34</v>
      </c>
      <c r="E9" s="9" t="s">
        <v>33</v>
      </c>
      <c r="F9" s="6"/>
    </row>
    <row r="10" spans="1:6" x14ac:dyDescent="0.25">
      <c r="A10" s="119"/>
      <c r="B10" s="7" t="s">
        <v>10</v>
      </c>
      <c r="C10" s="7" t="s">
        <v>37</v>
      </c>
      <c r="D10" s="7" t="s">
        <v>36</v>
      </c>
      <c r="E10" s="17" t="s">
        <v>9</v>
      </c>
    </row>
    <row r="11" spans="1:6" x14ac:dyDescent="0.25">
      <c r="A11" s="18" t="s">
        <v>38</v>
      </c>
      <c r="B11" s="8">
        <v>0</v>
      </c>
      <c r="C11" s="8">
        <v>999.8</v>
      </c>
      <c r="D11" s="8">
        <f>1.781*10^(-3)</f>
        <v>1.781E-3</v>
      </c>
      <c r="E11" s="11">
        <f>+D11/C11</f>
        <v>1.781356271254251E-6</v>
      </c>
    </row>
    <row r="12" spans="1:6" x14ac:dyDescent="0.25">
      <c r="A12" s="18" t="s">
        <v>38</v>
      </c>
      <c r="B12" s="8">
        <v>5</v>
      </c>
      <c r="C12" s="8">
        <v>1000</v>
      </c>
      <c r="D12" s="8">
        <f>1.518*10^(-3)</f>
        <v>1.518E-3</v>
      </c>
      <c r="E12" s="11">
        <f t="shared" ref="E12:E24" si="0">+D12/C12</f>
        <v>1.5180000000000001E-6</v>
      </c>
    </row>
    <row r="13" spans="1:6" x14ac:dyDescent="0.25">
      <c r="A13" s="18" t="s">
        <v>38</v>
      </c>
      <c r="B13" s="8">
        <v>10</v>
      </c>
      <c r="C13" s="8">
        <v>999.7</v>
      </c>
      <c r="D13" s="8">
        <f>1.307*10^(-3)</f>
        <v>1.307E-3</v>
      </c>
      <c r="E13" s="11">
        <f t="shared" si="0"/>
        <v>1.3073922176652995E-6</v>
      </c>
    </row>
    <row r="14" spans="1:6" x14ac:dyDescent="0.25">
      <c r="A14" s="18" t="s">
        <v>38</v>
      </c>
      <c r="B14" s="8">
        <v>15</v>
      </c>
      <c r="C14" s="8">
        <v>999.1</v>
      </c>
      <c r="D14" s="8">
        <f>1.139*10^(-3)</f>
        <v>1.139E-3</v>
      </c>
      <c r="E14" s="11">
        <f t="shared" si="0"/>
        <v>1.1400260234210791E-6</v>
      </c>
    </row>
    <row r="15" spans="1:6" x14ac:dyDescent="0.25">
      <c r="A15" s="18" t="s">
        <v>38</v>
      </c>
      <c r="B15" s="8">
        <v>20</v>
      </c>
      <c r="C15" s="8">
        <v>998.2</v>
      </c>
      <c r="D15" s="8">
        <f>1.102*10^(-3)</f>
        <v>1.1020000000000001E-3</v>
      </c>
      <c r="E15" s="11">
        <f t="shared" si="0"/>
        <v>1.1039871769184533E-6</v>
      </c>
    </row>
    <row r="16" spans="1:6" x14ac:dyDescent="0.25">
      <c r="A16" s="18" t="s">
        <v>38</v>
      </c>
      <c r="B16" s="8">
        <v>25</v>
      </c>
      <c r="C16" s="8">
        <v>997</v>
      </c>
      <c r="D16" s="8">
        <f>0.89*10^(-3)</f>
        <v>8.9000000000000006E-4</v>
      </c>
      <c r="E16" s="11">
        <f t="shared" si="0"/>
        <v>8.9267803410230695E-7</v>
      </c>
    </row>
    <row r="17" spans="1:5" x14ac:dyDescent="0.25">
      <c r="A17" s="18" t="s">
        <v>38</v>
      </c>
      <c r="B17" s="8">
        <v>30</v>
      </c>
      <c r="C17" s="8">
        <v>995.7</v>
      </c>
      <c r="D17" s="8">
        <f>0.708*10^(-3)</f>
        <v>7.0799999999999997E-4</v>
      </c>
      <c r="E17" s="11">
        <f t="shared" si="0"/>
        <v>7.1105754745405234E-7</v>
      </c>
    </row>
    <row r="18" spans="1:5" x14ac:dyDescent="0.25">
      <c r="A18" s="18" t="s">
        <v>38</v>
      </c>
      <c r="B18" s="8">
        <v>40</v>
      </c>
      <c r="C18" s="8">
        <v>992.2</v>
      </c>
      <c r="D18" s="8">
        <f>0.653*10^(-3)</f>
        <v>6.5300000000000004E-4</v>
      </c>
      <c r="E18" s="11">
        <f t="shared" si="0"/>
        <v>6.5813344083854066E-7</v>
      </c>
    </row>
    <row r="19" spans="1:5" x14ac:dyDescent="0.25">
      <c r="A19" s="18" t="s">
        <v>38</v>
      </c>
      <c r="B19" s="8">
        <v>50</v>
      </c>
      <c r="C19" s="8">
        <v>988</v>
      </c>
      <c r="D19" s="8">
        <f>0.547*10^(-3)</f>
        <v>5.4700000000000007E-4</v>
      </c>
      <c r="E19" s="11">
        <f t="shared" si="0"/>
        <v>5.5364372469635636E-7</v>
      </c>
    </row>
    <row r="20" spans="1:5" x14ac:dyDescent="0.25">
      <c r="A20" s="18" t="s">
        <v>38</v>
      </c>
      <c r="B20" s="8">
        <v>60</v>
      </c>
      <c r="C20" s="8">
        <v>983.2</v>
      </c>
      <c r="D20" s="8">
        <f>0.466*10^(-3)</f>
        <v>4.6600000000000005E-4</v>
      </c>
      <c r="E20" s="11">
        <f t="shared" si="0"/>
        <v>4.7396257119609443E-7</v>
      </c>
    </row>
    <row r="21" spans="1:5" x14ac:dyDescent="0.25">
      <c r="A21" s="18" t="s">
        <v>38</v>
      </c>
      <c r="B21" s="8">
        <v>70</v>
      </c>
      <c r="C21" s="8">
        <v>977.8</v>
      </c>
      <c r="D21" s="8">
        <f>0.404*10^(-3)</f>
        <v>4.0400000000000001E-4</v>
      </c>
      <c r="E21" s="11">
        <f t="shared" si="0"/>
        <v>4.1317242789936593E-7</v>
      </c>
    </row>
    <row r="22" spans="1:5" x14ac:dyDescent="0.25">
      <c r="A22" s="18" t="s">
        <v>38</v>
      </c>
      <c r="B22" s="8">
        <v>80</v>
      </c>
      <c r="C22" s="8">
        <v>971.8</v>
      </c>
      <c r="D22" s="8">
        <f>0.354*10^(-3)</f>
        <v>3.5399999999999999E-4</v>
      </c>
      <c r="E22" s="11">
        <f t="shared" si="0"/>
        <v>3.6427248405021611E-7</v>
      </c>
    </row>
    <row r="23" spans="1:5" x14ac:dyDescent="0.25">
      <c r="A23" s="18" t="s">
        <v>38</v>
      </c>
      <c r="B23" s="8">
        <v>90</v>
      </c>
      <c r="C23" s="8">
        <v>965.3</v>
      </c>
      <c r="D23" s="8">
        <f>0.315*10^(-3)</f>
        <v>3.1500000000000001E-4</v>
      </c>
      <c r="E23" s="11">
        <f t="shared" si="0"/>
        <v>3.2632342277012331E-7</v>
      </c>
    </row>
    <row r="24" spans="1:5" ht="15.75" thickBot="1" x14ac:dyDescent="0.3">
      <c r="A24" s="19" t="s">
        <v>38</v>
      </c>
      <c r="B24" s="20">
        <v>100</v>
      </c>
      <c r="C24" s="20">
        <v>958.4</v>
      </c>
      <c r="D24" s="20">
        <f>0.282*10^(-3)</f>
        <v>2.8199999999999997E-4</v>
      </c>
      <c r="E24" s="13">
        <f t="shared" si="0"/>
        <v>2.9424040066777959E-7</v>
      </c>
    </row>
  </sheetData>
  <mergeCells count="3">
    <mergeCell ref="A9:A10"/>
    <mergeCell ref="A8:E8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TUBERIA PRESION</vt:lpstr>
      <vt:lpstr>TABLAS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 Andrea López Melo</dc:creator>
  <cp:lastModifiedBy>Francisco Leonardo Mendoza Escobar</cp:lastModifiedBy>
  <cp:lastPrinted>2013-04-30T20:37:53Z</cp:lastPrinted>
  <dcterms:created xsi:type="dcterms:W3CDTF">2012-12-17T15:23:45Z</dcterms:created>
  <dcterms:modified xsi:type="dcterms:W3CDTF">2013-05-10T19:49:29Z</dcterms:modified>
</cp:coreProperties>
</file>