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codeName="{E757BCB4-07E6-AE0B-56E0-F0EEF7A6E26C}"/>
  <workbookPr codeName="ThisWorkbook" defaultThemeVersion="124226"/>
  <mc:AlternateContent xmlns:mc="http://schemas.openxmlformats.org/markup-compatibility/2006">
    <mc:Choice Requires="x15">
      <x15ac:absPath xmlns:x15ac="http://schemas.microsoft.com/office/spreadsheetml/2010/11/ac" url="https://mexichem-my.sharepoint.com/personal/juan_zambrano_mexichem_com/Documents/4. HOJAS DE CALCULO/AQUACELL/"/>
    </mc:Choice>
  </mc:AlternateContent>
  <xr:revisionPtr revIDLastSave="21" documentId="8_{9B5A2D0C-4172-4802-BF34-ECC3D4A5EFA6}" xr6:coauthVersionLast="47" xr6:coauthVersionMax="47" xr10:uidLastSave="{48F8EE03-B102-4DD5-98D2-6C7FB11294B4}"/>
  <bookViews>
    <workbookView showSheetTabs="0" xWindow="-120" yWindow="-120" windowWidth="29040" windowHeight="15840" xr2:uid="{E63D90E8-05F7-45BF-AD7B-ED7ED01BE493}"/>
  </bookViews>
  <sheets>
    <sheet name="ADVERTENCIA" sheetId="64" r:id="rId1"/>
    <sheet name="PORTADA" sheetId="30" state="veryHidden" r:id="rId2"/>
    <sheet name="DATOS INICIALES" sheetId="33" state="veryHidden" r:id="rId3"/>
    <sheet name="DATOS DEL PROYECTO" sheetId="34" state="veryHidden" r:id="rId4"/>
    <sheet name="DIMENSIONAMIENTO" sheetId="37" state="veryHidden" r:id="rId5"/>
    <sheet name="DIMENSIONAMIENTO_2" sheetId="72" state="veryHidden" r:id="rId6"/>
    <sheet name="TIEMPO DE VACIADO" sheetId="38" state="veryHidden" r:id="rId7"/>
    <sheet name="INFILTRACIÓN" sheetId="40" state="veryHidden" r:id="rId8"/>
    <sheet name="FLOTACIÓN" sheetId="39" state="veryHidden" r:id="rId9"/>
    <sheet name="DESPIECE DE MATERIAL" sheetId="42" state="veryHidden" r:id="rId10"/>
    <sheet name="CT_CORE" sheetId="16" state="veryHidden" r:id="rId11"/>
    <sheet name="CT_NG" sheetId="67" state="veryHidden" r:id="rId12"/>
    <sheet name="DIFERENCIAS" sheetId="73" state="veryHidden" r:id="rId13"/>
    <sheet name="REF Y COPYRIGHT" sheetId="63" state="veryHidden" r:id="rId14"/>
    <sheet name="TABLAS_INF" sheetId="24" state="veryHidden" r:id="rId15"/>
    <sheet name="TABLA_SUELOS" sheetId="74" state="veryHidden" r:id="rId16"/>
    <sheet name="TABLA_TRAFICO" sheetId="77" state="veryHidden" r:id="rId17"/>
    <sheet name="CALCULOS" sheetId="21" state="veryHidden" r:id="rId18"/>
    <sheet name="CÁLCULO MATERIALES AQUACELL" sheetId="35" state="veryHidden" r:id="rId19"/>
    <sheet name="PRECIOS" sheetId="15" state="veryHidden" r:id="rId20"/>
  </sheets>
  <functionGroups builtInGroupCount="19"/>
  <definedNames>
    <definedName name="AQ_CEDP">'DATOS INICIALES'!$H$15</definedName>
    <definedName name="AQ_DDP">'DATOS INICIALES'!$H$13</definedName>
    <definedName name="AQ_NDP">'DATOS INICIALES'!$H$9</definedName>
    <definedName name="AQ_UDP">'DATOS INICIALES'!$H$11</definedName>
    <definedName name="_xlnm.Print_Area" localSheetId="10">CT_CORE!$A$1:$I$80</definedName>
    <definedName name="_xlnm.Print_Area" localSheetId="11">CT_NG!$A$1:$I$86</definedName>
    <definedName name="D_NOM_C">CALCULOS!$B$17:$I$17</definedName>
    <definedName name="D_NOM_NG">CALCULOS!$B$17:$H$17</definedName>
    <definedName name="DDP">'DATOS INICIALES'!$H$13</definedName>
    <definedName name="NDP">'DATOS INICIALES'!$H$9</definedName>
    <definedName name="UDP">'DATOS INICIALES'!$H$11</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T35" i="35" l="1"/>
  <c r="V35" i="35" s="1"/>
  <c r="T34" i="35"/>
  <c r="W34" i="35" s="1"/>
  <c r="V34" i="35" l="1"/>
  <c r="X34" i="35" s="1"/>
  <c r="W35" i="35"/>
  <c r="X35" i="35"/>
  <c r="Y35" i="35"/>
  <c r="I26" i="72"/>
  <c r="I94" i="37"/>
  <c r="M28" i="42"/>
  <c r="H90" i="37"/>
  <c r="H28" i="72"/>
  <c r="H96" i="37"/>
  <c r="H97" i="37" l="1"/>
  <c r="H29" i="72"/>
  <c r="F62" i="72" l="1"/>
  <c r="H87" i="37"/>
  <c r="I92" i="37" l="1"/>
  <c r="I24" i="72"/>
  <c r="I16" i="72"/>
  <c r="H19" i="72"/>
  <c r="I37" i="40" s="1"/>
  <c r="H22" i="72"/>
  <c r="I93" i="37"/>
  <c r="H49" i="39"/>
  <c r="H47" i="39"/>
  <c r="H23" i="72" l="1"/>
  <c r="H25" i="72"/>
  <c r="F32" i="72" a="1"/>
  <c r="F32" i="72" l="1"/>
  <c r="H27" i="72"/>
  <c r="H26" i="72" s="1"/>
  <c r="H93" i="37"/>
  <c r="H95" i="37" s="1"/>
  <c r="H94" i="37" s="1"/>
  <c r="H91" i="37"/>
  <c r="E39" i="39"/>
  <c r="I39" i="39" s="1"/>
  <c r="I16" i="39"/>
  <c r="F36" i="72" a="1"/>
  <c r="F100" i="37" a="1"/>
  <c r="F36" i="72" l="1"/>
  <c r="F100" i="37"/>
  <c r="I84" i="37"/>
  <c r="F104" i="37" a="1"/>
  <c r="F104" i="37" l="1"/>
  <c r="B63" i="67"/>
  <c r="I89" i="37"/>
  <c r="I21" i="72"/>
  <c r="F90" i="37"/>
  <c r="I90" i="37" s="1"/>
  <c r="F22" i="72"/>
  <c r="I22" i="72" s="1"/>
  <c r="G62" i="67" l="1"/>
  <c r="Q28" i="35" l="1"/>
  <c r="Q27" i="35"/>
  <c r="Q26" i="35"/>
  <c r="Q25" i="35"/>
  <c r="Q24" i="35"/>
  <c r="N23" i="35"/>
  <c r="Q23" i="35"/>
  <c r="P25" i="35"/>
  <c r="P24" i="35"/>
  <c r="P23" i="35"/>
  <c r="O29" i="35"/>
  <c r="O30" i="35" s="1"/>
  <c r="O28" i="35"/>
  <c r="O27" i="35"/>
  <c r="O26" i="35"/>
  <c r="O25" i="35"/>
  <c r="N28" i="35"/>
  <c r="N27" i="35"/>
  <c r="N26" i="35"/>
  <c r="N25" i="35"/>
  <c r="N22" i="35"/>
  <c r="N21" i="35"/>
  <c r="M28" i="35"/>
  <c r="M24" i="35"/>
  <c r="M23" i="35"/>
  <c r="L28" i="35"/>
  <c r="L25" i="35"/>
  <c r="L24" i="35"/>
  <c r="L23" i="35"/>
  <c r="K28" i="35"/>
  <c r="K25" i="35"/>
  <c r="K24" i="35"/>
  <c r="K23" i="35"/>
  <c r="J27" i="35"/>
  <c r="J23" i="35"/>
  <c r="C62" i="67"/>
  <c r="B61" i="67"/>
  <c r="G61" i="67" s="1"/>
  <c r="C63" i="67" l="1"/>
  <c r="G63" i="67"/>
  <c r="C61" i="67"/>
  <c r="K22" i="42"/>
  <c r="I29" i="72"/>
  <c r="F29" i="72"/>
  <c r="I28" i="72"/>
  <c r="F28" i="72"/>
  <c r="I27" i="72"/>
  <c r="F27" i="72"/>
  <c r="F24" i="72"/>
  <c r="I20" i="72"/>
  <c r="I19" i="72"/>
  <c r="I25" i="72"/>
  <c r="AP26" i="35"/>
  <c r="AS50" i="35" s="1"/>
  <c r="AP25" i="35"/>
  <c r="AS35" i="35" s="1"/>
  <c r="W19" i="35"/>
  <c r="X19" i="35"/>
  <c r="Y19" i="35"/>
  <c r="Z19" i="35"/>
  <c r="AA19" i="35"/>
  <c r="AB19" i="35"/>
  <c r="V20" i="35"/>
  <c r="Y20" i="35"/>
  <c r="Z20" i="35"/>
  <c r="AA20" i="35"/>
  <c r="AB20" i="35"/>
  <c r="Y21" i="35"/>
  <c r="Z21" i="35"/>
  <c r="AB21" i="35"/>
  <c r="W22" i="35"/>
  <c r="X22" i="35"/>
  <c r="Z22" i="35"/>
  <c r="AB22" i="35"/>
  <c r="V23" i="35"/>
  <c r="W23" i="35"/>
  <c r="X23" i="35"/>
  <c r="Y23" i="35"/>
  <c r="Z23" i="35"/>
  <c r="AB23" i="35"/>
  <c r="AB18" i="35"/>
  <c r="AA18" i="35"/>
  <c r="Z18" i="35"/>
  <c r="X18" i="35"/>
  <c r="W18" i="35"/>
  <c r="V18" i="35"/>
  <c r="U19" i="35"/>
  <c r="U21" i="35"/>
  <c r="U22" i="35"/>
  <c r="W9" i="35"/>
  <c r="X9" i="35"/>
  <c r="Y9" i="35"/>
  <c r="Z9" i="35"/>
  <c r="AA9" i="35"/>
  <c r="AB9" i="35"/>
  <c r="V10" i="35"/>
  <c r="Y10" i="35"/>
  <c r="Z10" i="35"/>
  <c r="AA10" i="35"/>
  <c r="AB10" i="35"/>
  <c r="Y11" i="35"/>
  <c r="Z11" i="35"/>
  <c r="AB11" i="35"/>
  <c r="W12" i="35"/>
  <c r="X12" i="35"/>
  <c r="Z12" i="35"/>
  <c r="AB12" i="35"/>
  <c r="V13" i="35"/>
  <c r="W13" i="35"/>
  <c r="X13" i="35"/>
  <c r="Y13" i="35"/>
  <c r="Z13" i="35"/>
  <c r="AB13" i="35"/>
  <c r="AA8" i="35"/>
  <c r="Z8" i="35"/>
  <c r="X8" i="35"/>
  <c r="W8" i="35"/>
  <c r="V8" i="35"/>
  <c r="U9" i="35"/>
  <c r="U11" i="35"/>
  <c r="U12" i="35"/>
  <c r="Q29" i="35"/>
  <c r="Q30" i="35" s="1"/>
  <c r="J22" i="35"/>
  <c r="J21" i="35"/>
  <c r="E13" i="35"/>
  <c r="E6" i="35"/>
  <c r="E5" i="35"/>
  <c r="AM30" i="35" l="1"/>
  <c r="AN30" i="35" s="1"/>
  <c r="AM29" i="35"/>
  <c r="AN29" i="35" s="1"/>
  <c r="Y34" i="35"/>
  <c r="AS43" i="35"/>
  <c r="AP29" i="35" s="1"/>
  <c r="AQ29" i="35" s="1"/>
  <c r="U34" i="35" s="1"/>
  <c r="AS58" i="35"/>
  <c r="AP30" i="35"/>
  <c r="AQ30" i="35" s="1"/>
  <c r="U35" i="35" s="1"/>
  <c r="M25" i="42"/>
  <c r="M24" i="42"/>
  <c r="I38" i="39"/>
  <c r="G16" i="67" l="1"/>
  <c r="G16" i="16"/>
  <c r="G15" i="67"/>
  <c r="G15" i="16"/>
  <c r="H13" i="39"/>
  <c r="H12" i="39"/>
  <c r="I29" i="40"/>
  <c r="H16" i="40"/>
  <c r="H13" i="40"/>
  <c r="H12" i="40"/>
  <c r="H15" i="38"/>
  <c r="H17" i="38" s="1"/>
  <c r="H14" i="38"/>
  <c r="H13" i="38"/>
  <c r="J74" i="72"/>
  <c r="F130" i="37"/>
  <c r="J52" i="37"/>
  <c r="I88" i="37"/>
  <c r="I87" i="37"/>
  <c r="I6" i="35" l="1"/>
  <c r="G58" i="67"/>
  <c r="C58" i="67"/>
  <c r="G59" i="67"/>
  <c r="C59" i="67"/>
  <c r="G57" i="67"/>
  <c r="C57" i="67"/>
  <c r="I5" i="35" l="1"/>
  <c r="C8" i="21"/>
  <c r="D8" i="21" s="1"/>
  <c r="E8" i="21" s="1"/>
  <c r="C9" i="21"/>
  <c r="D9" i="21" s="1"/>
  <c r="E9" i="21" s="1"/>
  <c r="C10" i="21"/>
  <c r="D10" i="21" s="1"/>
  <c r="E10" i="21" s="1"/>
  <c r="C11" i="21"/>
  <c r="D11" i="21" s="1"/>
  <c r="E11" i="21" s="1"/>
  <c r="C12" i="21"/>
  <c r="D12" i="21" s="1"/>
  <c r="E12" i="21" s="1"/>
  <c r="C7" i="21"/>
  <c r="D7" i="21" s="1"/>
  <c r="C14" i="21"/>
  <c r="C13" i="21"/>
  <c r="D13" i="21" s="1"/>
  <c r="Q22" i="35"/>
  <c r="Q21" i="35"/>
  <c r="P21" i="35"/>
  <c r="M22" i="35"/>
  <c r="O21" i="35"/>
  <c r="L21" i="35"/>
  <c r="G9" i="21" l="1"/>
  <c r="F9" i="21"/>
  <c r="G8" i="21"/>
  <c r="F8" i="21"/>
  <c r="G12" i="21"/>
  <c r="F12" i="21"/>
  <c r="G11" i="21"/>
  <c r="F11" i="21"/>
  <c r="E7" i="21"/>
  <c r="I7" i="21"/>
  <c r="G10" i="21"/>
  <c r="F10" i="21"/>
  <c r="I12" i="21"/>
  <c r="I9" i="21"/>
  <c r="I10" i="21"/>
  <c r="I11" i="21"/>
  <c r="I8" i="21"/>
  <c r="D14" i="21"/>
  <c r="E14" i="21" s="1"/>
  <c r="I13" i="21"/>
  <c r="E13" i="21"/>
  <c r="H9" i="21" l="1"/>
  <c r="H12" i="21"/>
  <c r="K12" i="21" s="1"/>
  <c r="H10" i="21"/>
  <c r="K10" i="21" s="1"/>
  <c r="H8" i="21"/>
  <c r="K8" i="21" s="1"/>
  <c r="J12" i="21"/>
  <c r="J11" i="21"/>
  <c r="J10" i="21"/>
  <c r="F7" i="21"/>
  <c r="G7" i="21"/>
  <c r="J9" i="21"/>
  <c r="H11" i="21"/>
  <c r="J8" i="21"/>
  <c r="F14" i="21"/>
  <c r="G14" i="21"/>
  <c r="I14" i="21"/>
  <c r="G13" i="21"/>
  <c r="F13" i="21"/>
  <c r="J142" i="37"/>
  <c r="AB8" i="35" s="1"/>
  <c r="I9" i="72"/>
  <c r="F40" i="72" l="1"/>
  <c r="K11" i="21"/>
  <c r="L11" i="21" s="1"/>
  <c r="J54" i="72" s="1"/>
  <c r="L54" i="72" s="1"/>
  <c r="K9" i="21"/>
  <c r="L9" i="21" s="1"/>
  <c r="J52" i="72" s="1"/>
  <c r="L52" i="72" s="1"/>
  <c r="L10" i="21"/>
  <c r="J53" i="72" s="1"/>
  <c r="L53" i="72" s="1"/>
  <c r="K53" i="72"/>
  <c r="L12" i="21"/>
  <c r="J55" i="72" s="1"/>
  <c r="L55" i="72" s="1"/>
  <c r="K55" i="72"/>
  <c r="L8" i="21"/>
  <c r="J51" i="72" s="1"/>
  <c r="L51" i="72" s="1"/>
  <c r="K51" i="72"/>
  <c r="E7" i="35"/>
  <c r="M26" i="42"/>
  <c r="H14" i="40"/>
  <c r="I35" i="40" s="1" a="1"/>
  <c r="H14" i="39"/>
  <c r="I40" i="39" s="1"/>
  <c r="H12" i="38"/>
  <c r="H19" i="38" s="1"/>
  <c r="H7" i="21"/>
  <c r="J7" i="21"/>
  <c r="J14" i="21"/>
  <c r="H14" i="21"/>
  <c r="J13" i="21"/>
  <c r="H13" i="21"/>
  <c r="I35" i="40" l="1"/>
  <c r="F40" i="40" s="1"/>
  <c r="N29" i="35"/>
  <c r="N30" i="35" s="1"/>
  <c r="N24" i="35"/>
  <c r="Y18" i="35"/>
  <c r="M29" i="35"/>
  <c r="M27" i="35"/>
  <c r="X20" i="35"/>
  <c r="M25" i="35"/>
  <c r="L29" i="35"/>
  <c r="L30" i="35" s="1"/>
  <c r="L26" i="35"/>
  <c r="L27" i="35"/>
  <c r="W21" i="35"/>
  <c r="K27" i="35"/>
  <c r="V22" i="35"/>
  <c r="I42" i="39"/>
  <c r="I41" i="39" s="1"/>
  <c r="K52" i="72"/>
  <c r="K54" i="72"/>
  <c r="M55" i="72"/>
  <c r="O24" i="35"/>
  <c r="O23" i="35"/>
  <c r="K7" i="21"/>
  <c r="L7" i="21" s="1"/>
  <c r="J50" i="72" s="1"/>
  <c r="L50" i="72" s="1"/>
  <c r="K13" i="21"/>
  <c r="K62" i="72" s="1"/>
  <c r="K14" i="21"/>
  <c r="L14" i="21" s="1"/>
  <c r="M51" i="72"/>
  <c r="V19" i="35"/>
  <c r="M53" i="72"/>
  <c r="X21" i="35"/>
  <c r="M26" i="35"/>
  <c r="M54" i="72"/>
  <c r="Y22" i="35"/>
  <c r="M52" i="72"/>
  <c r="W20" i="35"/>
  <c r="E14" i="35"/>
  <c r="M33" i="42" s="1"/>
  <c r="E11" i="35"/>
  <c r="G17" i="16"/>
  <c r="G17" i="67"/>
  <c r="K120" i="37"/>
  <c r="K123" i="37"/>
  <c r="I97" i="37"/>
  <c r="I96" i="37"/>
  <c r="I95" i="37"/>
  <c r="F97" i="37"/>
  <c r="F96" i="37"/>
  <c r="F95" i="37"/>
  <c r="F92" i="37"/>
  <c r="L9" i="72"/>
  <c r="G60" i="67"/>
  <c r="G67" i="67"/>
  <c r="G68" i="67"/>
  <c r="G69" i="67"/>
  <c r="G70" i="67"/>
  <c r="G72" i="67"/>
  <c r="H72" i="67" s="1"/>
  <c r="E72" i="67"/>
  <c r="C72" i="67"/>
  <c r="C70" i="67"/>
  <c r="C69" i="67"/>
  <c r="C68" i="67"/>
  <c r="C67" i="67"/>
  <c r="C60" i="67"/>
  <c r="H14" i="37"/>
  <c r="G10" i="67"/>
  <c r="C10" i="67"/>
  <c r="G9" i="67"/>
  <c r="C9" i="67"/>
  <c r="C8" i="67"/>
  <c r="J32" i="37"/>
  <c r="J35" i="37"/>
  <c r="J36" i="37"/>
  <c r="J37" i="37"/>
  <c r="J38" i="37"/>
  <c r="J39" i="37"/>
  <c r="J40" i="37"/>
  <c r="J41" i="37"/>
  <c r="J42" i="37"/>
  <c r="J43" i="37"/>
  <c r="J44" i="37"/>
  <c r="J45" i="37"/>
  <c r="J46" i="37"/>
  <c r="J47" i="37"/>
  <c r="J48" i="37"/>
  <c r="J49" i="37"/>
  <c r="J50" i="37"/>
  <c r="J51" i="37"/>
  <c r="J24" i="40"/>
  <c r="E66" i="16"/>
  <c r="G10" i="16"/>
  <c r="G9" i="16"/>
  <c r="C9" i="16"/>
  <c r="C10" i="16"/>
  <c r="J23" i="40"/>
  <c r="J21" i="37"/>
  <c r="J22" i="37"/>
  <c r="J23" i="37"/>
  <c r="J24" i="37"/>
  <c r="J25" i="37"/>
  <c r="J26" i="37"/>
  <c r="J27" i="37"/>
  <c r="J28" i="37"/>
  <c r="J29" i="37"/>
  <c r="J30" i="37"/>
  <c r="J31" i="37"/>
  <c r="J33" i="37"/>
  <c r="J34" i="37"/>
  <c r="J20" i="37"/>
  <c r="G66" i="16"/>
  <c r="H66" i="16" s="1"/>
  <c r="C66" i="16"/>
  <c r="G64" i="16"/>
  <c r="G63" i="16"/>
  <c r="G62" i="16"/>
  <c r="G61" i="16"/>
  <c r="G57" i="16"/>
  <c r="C64" i="16"/>
  <c r="C63" i="16"/>
  <c r="C62" i="16"/>
  <c r="C61" i="16"/>
  <c r="C57" i="16"/>
  <c r="A6" i="24"/>
  <c r="A7" i="24"/>
  <c r="A8" i="24"/>
  <c r="A9" i="24"/>
  <c r="A10" i="24"/>
  <c r="A11" i="24"/>
  <c r="A12" i="24"/>
  <c r="A13" i="24"/>
  <c r="A14" i="24"/>
  <c r="A5" i="24"/>
  <c r="C8" i="16"/>
  <c r="J25" i="40" l="1"/>
  <c r="M30" i="35"/>
  <c r="K20" i="37"/>
  <c r="Y12" i="35"/>
  <c r="Y8" i="35"/>
  <c r="X11" i="35"/>
  <c r="X10" i="35"/>
  <c r="W10" i="35"/>
  <c r="W11" i="35"/>
  <c r="V9" i="35"/>
  <c r="V12" i="35"/>
  <c r="J24" i="35"/>
  <c r="J28" i="35"/>
  <c r="U23" i="35"/>
  <c r="I55" i="39"/>
  <c r="K50" i="72"/>
  <c r="G24" i="67"/>
  <c r="F65" i="67" s="1"/>
  <c r="H65" i="67" s="1"/>
  <c r="L13" i="21"/>
  <c r="J62" i="72" s="1"/>
  <c r="J64" i="72" s="1"/>
  <c r="J26" i="35"/>
  <c r="J25" i="35"/>
  <c r="R25" i="35" s="1"/>
  <c r="M50" i="72"/>
  <c r="U13" i="35" s="1"/>
  <c r="U18" i="35"/>
  <c r="G24" i="16"/>
  <c r="M32" i="42"/>
  <c r="E16" i="35"/>
  <c r="G19" i="16"/>
  <c r="G19" i="67"/>
  <c r="J120" i="37"/>
  <c r="J123" i="37"/>
  <c r="K121" i="37"/>
  <c r="K119" i="37"/>
  <c r="K122" i="37"/>
  <c r="K33" i="37"/>
  <c r="K47" i="37"/>
  <c r="K42" i="37"/>
  <c r="K29" i="37"/>
  <c r="H15" i="40"/>
  <c r="J37" i="40" s="1"/>
  <c r="K51" i="37"/>
  <c r="K38" i="37"/>
  <c r="K24" i="37"/>
  <c r="K48" i="37"/>
  <c r="K44" i="37"/>
  <c r="K39" i="37"/>
  <c r="K35" i="37"/>
  <c r="K30" i="37"/>
  <c r="K26" i="37"/>
  <c r="K21" i="37"/>
  <c r="K50" i="37"/>
  <c r="K45" i="37"/>
  <c r="K41" i="37"/>
  <c r="K36" i="37"/>
  <c r="K32" i="37"/>
  <c r="K27" i="37"/>
  <c r="K23" i="37"/>
  <c r="E8" i="35"/>
  <c r="H15" i="39"/>
  <c r="H16" i="39" s="1"/>
  <c r="M27" i="42"/>
  <c r="K52" i="37"/>
  <c r="K49" i="37"/>
  <c r="K46" i="37"/>
  <c r="K43" i="37"/>
  <c r="K40" i="37"/>
  <c r="K37" i="37"/>
  <c r="K34" i="37"/>
  <c r="K31" i="37"/>
  <c r="K28" i="37"/>
  <c r="K25" i="37"/>
  <c r="K22" i="37"/>
  <c r="L30" i="37" l="1"/>
  <c r="L43" i="37"/>
  <c r="L24" i="37"/>
  <c r="L48" i="37"/>
  <c r="L34" i="37"/>
  <c r="L46" i="37"/>
  <c r="L52" i="37"/>
  <c r="L33" i="37"/>
  <c r="L26" i="37"/>
  <c r="L37" i="37"/>
  <c r="L39" i="37"/>
  <c r="L35" i="37"/>
  <c r="L28" i="37"/>
  <c r="L44" i="37"/>
  <c r="L51" i="37"/>
  <c r="L42" i="37"/>
  <c r="L22" i="37"/>
  <c r="L36" i="37"/>
  <c r="L29" i="37"/>
  <c r="L38" i="37"/>
  <c r="L40" i="37"/>
  <c r="L32" i="37"/>
  <c r="L47" i="37"/>
  <c r="L45" i="37"/>
  <c r="L23" i="37"/>
  <c r="L41" i="37"/>
  <c r="L50" i="37"/>
  <c r="L49" i="37"/>
  <c r="L27" i="37"/>
  <c r="L31" i="37"/>
  <c r="L25" i="37"/>
  <c r="L21" i="37"/>
  <c r="M44" i="37"/>
  <c r="M52" i="37"/>
  <c r="M50" i="37"/>
  <c r="M49" i="37"/>
  <c r="M48" i="37"/>
  <c r="M46" i="37"/>
  <c r="M33" i="37"/>
  <c r="M31" i="37"/>
  <c r="M29" i="37"/>
  <c r="M26" i="37"/>
  <c r="M51" i="37"/>
  <c r="M45" i="37"/>
  <c r="M32" i="37"/>
  <c r="M30" i="37"/>
  <c r="M28" i="37"/>
  <c r="M25" i="37"/>
  <c r="M47" i="37"/>
  <c r="M27" i="37"/>
  <c r="M34" i="37"/>
  <c r="M35" i="37"/>
  <c r="M36" i="37"/>
  <c r="M37" i="37"/>
  <c r="M38" i="37"/>
  <c r="M39" i="37"/>
  <c r="M40" i="37"/>
  <c r="M21" i="37"/>
  <c r="M41" i="37"/>
  <c r="M22" i="37"/>
  <c r="M42" i="37"/>
  <c r="M23" i="37"/>
  <c r="M43" i="37"/>
  <c r="M24" i="37"/>
  <c r="J65" i="72"/>
  <c r="AA11" i="35" s="1"/>
  <c r="P26" i="35"/>
  <c r="P27" i="35"/>
  <c r="AA21" i="35"/>
  <c r="AA13" i="35"/>
  <c r="P28" i="35"/>
  <c r="R28" i="35" s="1"/>
  <c r="AA23" i="35"/>
  <c r="U8" i="35"/>
  <c r="G23" i="67"/>
  <c r="G23" i="16"/>
  <c r="F58" i="16" s="1"/>
  <c r="G18" i="67"/>
  <c r="G18" i="16"/>
  <c r="H28" i="38"/>
  <c r="H21" i="38"/>
  <c r="L123" i="37"/>
  <c r="J119" i="37"/>
  <c r="J121" i="37"/>
  <c r="J122" i="37"/>
  <c r="E15" i="35"/>
  <c r="K118" i="37"/>
  <c r="K130" i="37"/>
  <c r="I36" i="40" a="1"/>
  <c r="N49" i="37" l="1"/>
  <c r="N28" i="37"/>
  <c r="N50" i="37"/>
  <c r="N44" i="37"/>
  <c r="N52" i="37"/>
  <c r="N30" i="37"/>
  <c r="N24" i="37"/>
  <c r="N47" i="37"/>
  <c r="N27" i="37"/>
  <c r="N32" i="37"/>
  <c r="N34" i="37"/>
  <c r="N39" i="37"/>
  <c r="N45" i="37"/>
  <c r="N41" i="37"/>
  <c r="N51" i="37"/>
  <c r="N22" i="37"/>
  <c r="N21" i="37"/>
  <c r="N38" i="37"/>
  <c r="N43" i="37"/>
  <c r="N42" i="37"/>
  <c r="N40" i="37"/>
  <c r="N37" i="37"/>
  <c r="N48" i="37"/>
  <c r="N23" i="37"/>
  <c r="N36" i="37"/>
  <c r="N35" i="37"/>
  <c r="N26" i="37"/>
  <c r="N29" i="37"/>
  <c r="N31" i="37"/>
  <c r="N33" i="37"/>
  <c r="N25" i="37"/>
  <c r="N46" i="37"/>
  <c r="I65" i="39"/>
  <c r="F64" i="67"/>
  <c r="H64" i="67" s="1"/>
  <c r="H29" i="38"/>
  <c r="H30" i="38" s="1"/>
  <c r="I28" i="38"/>
  <c r="J28" i="38" s="1"/>
  <c r="M123" i="37"/>
  <c r="O22" i="35"/>
  <c r="L122" i="37"/>
  <c r="L121" i="37"/>
  <c r="F59" i="16"/>
  <c r="H59" i="16" s="1"/>
  <c r="I36" i="40"/>
  <c r="F44" i="40" s="1"/>
  <c r="J130" i="37"/>
  <c r="J118" i="37"/>
  <c r="N53" i="37" l="1"/>
  <c r="L53" i="37"/>
  <c r="K28" i="38"/>
  <c r="F72" i="72"/>
  <c r="I30" i="38"/>
  <c r="J30" i="38" s="1"/>
  <c r="I29" i="38"/>
  <c r="J29" i="38" s="1"/>
  <c r="H31" i="38"/>
  <c r="M121" i="37"/>
  <c r="M21" i="35"/>
  <c r="M122" i="37"/>
  <c r="L119" i="37"/>
  <c r="L118" i="37"/>
  <c r="L120" i="37"/>
  <c r="J132" i="37"/>
  <c r="AA22" i="35" l="1"/>
  <c r="P29" i="35"/>
  <c r="P30" i="35" s="1"/>
  <c r="K29" i="35"/>
  <c r="K26" i="35"/>
  <c r="V21" i="35"/>
  <c r="J29" i="35"/>
  <c r="U20" i="35"/>
  <c r="M54" i="37"/>
  <c r="K29" i="38"/>
  <c r="I31" i="38"/>
  <c r="J31" i="38" s="1"/>
  <c r="K30" i="38"/>
  <c r="F140" i="37"/>
  <c r="H32" i="38"/>
  <c r="I32" i="38" s="1"/>
  <c r="J32" i="38" s="1"/>
  <c r="K22" i="35"/>
  <c r="P22" i="35"/>
  <c r="R27" i="35"/>
  <c r="M119" i="37"/>
  <c r="V11" i="35" s="1"/>
  <c r="K21" i="35"/>
  <c r="R21" i="35" s="1"/>
  <c r="M120" i="37"/>
  <c r="L22" i="35"/>
  <c r="J133" i="37"/>
  <c r="AA12" i="35" s="1"/>
  <c r="M118" i="37"/>
  <c r="U10" i="35" s="1"/>
  <c r="K30" i="35" l="1"/>
  <c r="J30" i="35"/>
  <c r="R29" i="35"/>
  <c r="F108" i="37"/>
  <c r="M23" i="42"/>
  <c r="M29" i="42"/>
  <c r="K31" i="38"/>
  <c r="AC22" i="35"/>
  <c r="H33" i="38"/>
  <c r="I33" i="38" s="1"/>
  <c r="J33" i="38" s="1"/>
  <c r="R26" i="35"/>
  <c r="AC18" i="35"/>
  <c r="AC21" i="35"/>
  <c r="R24" i="35"/>
  <c r="R23" i="35"/>
  <c r="R22" i="35"/>
  <c r="AC20" i="35"/>
  <c r="AC12" i="35"/>
  <c r="E25" i="35" s="1"/>
  <c r="AC19" i="35"/>
  <c r="R30" i="35" l="1"/>
  <c r="G14" i="16"/>
  <c r="G14" i="67"/>
  <c r="F59" i="67"/>
  <c r="H59" i="67" s="1"/>
  <c r="G20" i="67"/>
  <c r="G20" i="16"/>
  <c r="F25" i="35"/>
  <c r="AC23" i="35"/>
  <c r="K32" i="38"/>
  <c r="H34" i="38"/>
  <c r="I34" i="38" s="1"/>
  <c r="J34" i="38" s="1"/>
  <c r="AC9" i="35"/>
  <c r="E22" i="35" s="1"/>
  <c r="F22" i="35" s="1"/>
  <c r="AC11" i="35"/>
  <c r="E24" i="35" s="1"/>
  <c r="F24" i="35" s="1"/>
  <c r="AC10" i="35"/>
  <c r="E23" i="35" s="1"/>
  <c r="F23" i="35" s="1"/>
  <c r="M31" i="42" l="1"/>
  <c r="AC13" i="35"/>
  <c r="E26" i="35" s="1"/>
  <c r="F26" i="35" s="1"/>
  <c r="K33" i="38"/>
  <c r="H35" i="38"/>
  <c r="I35" i="38" s="1"/>
  <c r="J35" i="38" s="1"/>
  <c r="G22" i="67" l="1"/>
  <c r="G22" i="16"/>
  <c r="AC8" i="35"/>
  <c r="E21" i="35" s="1"/>
  <c r="F21" i="35" s="1"/>
  <c r="E27" i="35" s="1"/>
  <c r="H36" i="38"/>
  <c r="I36" i="38" s="1"/>
  <c r="J36" i="38" s="1"/>
  <c r="K34" i="38"/>
  <c r="F60" i="67" l="1"/>
  <c r="F67" i="67"/>
  <c r="F68" i="67"/>
  <c r="H68" i="67" s="1"/>
  <c r="F61" i="16"/>
  <c r="F62" i="16"/>
  <c r="H62" i="16" s="1"/>
  <c r="K35" i="38"/>
  <c r="H37" i="38"/>
  <c r="I37" i="38" s="1"/>
  <c r="J37" i="38" s="1"/>
  <c r="H61" i="16" l="1"/>
  <c r="F63" i="16"/>
  <c r="H63" i="16" s="1"/>
  <c r="F64" i="16"/>
  <c r="H64" i="16" s="1"/>
  <c r="H67" i="67"/>
  <c r="F70" i="67"/>
  <c r="H70" i="67" s="1"/>
  <c r="F69" i="67"/>
  <c r="H69" i="67" s="1"/>
  <c r="F62" i="67"/>
  <c r="H62" i="67" s="1"/>
  <c r="F63" i="67"/>
  <c r="H63" i="67" s="1"/>
  <c r="H60" i="67"/>
  <c r="F61" i="67"/>
  <c r="H61" i="67" s="1"/>
  <c r="H38" i="38"/>
  <c r="K36" i="38"/>
  <c r="H73" i="67" l="1"/>
  <c r="H74" i="67" s="1"/>
  <c r="H75" i="67" s="1"/>
  <c r="I38" i="38"/>
  <c r="J38" i="38" s="1"/>
  <c r="K37" i="38"/>
  <c r="K38" i="38" l="1"/>
  <c r="H58" i="16"/>
  <c r="E9" i="35" l="1"/>
  <c r="M30" i="42"/>
  <c r="F58" i="67" l="1"/>
  <c r="H58" i="67" s="1"/>
  <c r="I57" i="39"/>
  <c r="I59" i="39" s="1"/>
  <c r="K59" i="39" s="1"/>
  <c r="G21" i="16"/>
  <c r="F57" i="16" s="1"/>
  <c r="H57" i="16" s="1"/>
  <c r="H67" i="16" s="1"/>
  <c r="H68" i="16" s="1"/>
  <c r="H69" i="16" s="1"/>
  <c r="G21" i="67"/>
  <c r="F57" i="67" s="1"/>
  <c r="H57" i="67" s="1"/>
  <c r="H17" i="39" l="1"/>
  <c r="N36" i="39"/>
  <c r="N43" i="3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<sst xmlns="http://schemas.openxmlformats.org/spreadsheetml/2006/main" count="3464" uniqueCount="3116">
  <si>
    <t>SISTEMA</t>
  </si>
  <si>
    <t>SISTEMA MODULAR PARA MANEJO DE AGUAS LLUVIAS</t>
  </si>
  <si>
    <t>AQUACELL</t>
  </si>
  <si>
    <t>DATOS</t>
  </si>
  <si>
    <t>INICIALES</t>
  </si>
  <si>
    <t>INFORMACIÓN</t>
  </si>
  <si>
    <t>DEL</t>
  </si>
  <si>
    <t>PROYECTO</t>
  </si>
  <si>
    <t>Unidades</t>
  </si>
  <si>
    <t>¿Conoces el volumen?</t>
  </si>
  <si>
    <t>¿Qué valor es?</t>
  </si>
  <si>
    <t>m³</t>
  </si>
  <si>
    <t>CÁLCULO</t>
  </si>
  <si>
    <t>Tpico</t>
  </si>
  <si>
    <r>
      <rPr>
        <b/>
        <sz val="11"/>
        <color theme="0"/>
        <rFont val="PT Sans Narrow"/>
        <family val="2"/>
      </rPr>
      <t>Tpico:</t>
    </r>
    <r>
      <rPr>
        <sz val="11"/>
        <color theme="0"/>
        <rFont val="PT Sans Narrow"/>
        <family val="2"/>
      </rPr>
      <t xml:space="preserve"> Tiempo transcurrido al pico de la tormenta (Minutos). Determina la duración de lluvia total</t>
    </r>
  </si>
  <si>
    <t>C</t>
  </si>
  <si>
    <r>
      <rPr>
        <b/>
        <sz val="11"/>
        <color theme="0"/>
        <rFont val="PT Sans Narrow"/>
        <family val="2"/>
      </rPr>
      <t>C:</t>
    </r>
    <r>
      <rPr>
        <sz val="11"/>
        <color theme="0"/>
        <rFont val="PT Sans Narrow"/>
        <family val="2"/>
      </rPr>
      <t xml:space="preserve"> Coeficiente de Escorrentía del área aportante (Adimensional)</t>
    </r>
  </si>
  <si>
    <t>A (m²)</t>
  </si>
  <si>
    <r>
      <rPr>
        <b/>
        <sz val="11"/>
        <color theme="0"/>
        <rFont val="PT Sans Narrow"/>
        <family val="2"/>
      </rPr>
      <t>A:</t>
    </r>
    <r>
      <rPr>
        <sz val="11"/>
        <color theme="0"/>
        <rFont val="PT Sans Narrow"/>
        <family val="2"/>
      </rPr>
      <t xml:space="preserve"> Área aferente (m2)</t>
    </r>
  </si>
  <si>
    <t>I (mm/hr)</t>
  </si>
  <si>
    <r>
      <rPr>
        <b/>
        <sz val="11"/>
        <color theme="0"/>
        <rFont val="PT Sans Narrow"/>
        <family val="2"/>
      </rPr>
      <t>I:</t>
    </r>
    <r>
      <rPr>
        <sz val="11"/>
        <color theme="0"/>
        <rFont val="PT Sans Narrow"/>
        <family val="2"/>
      </rPr>
      <t xml:space="preserve"> Intensidad de Lluvia de diseño (mm/h)</t>
    </r>
  </si>
  <si>
    <t>VOLUMEN</t>
  </si>
  <si>
    <t>Qdescarga (LPS)</t>
  </si>
  <si>
    <t>Qpico (LPS)</t>
  </si>
  <si>
    <r>
      <rPr>
        <b/>
        <sz val="11"/>
        <color theme="0"/>
        <rFont val="PT Sans Narrow"/>
        <family val="2"/>
      </rPr>
      <t>Qpico:</t>
    </r>
    <r>
      <rPr>
        <sz val="11"/>
        <color theme="0"/>
        <rFont val="PT Sans Narrow"/>
        <family val="2"/>
      </rPr>
      <t xml:space="preserve"> Caudal pluvial a almacenar, calculado mediante el método racional (LPS)</t>
    </r>
  </si>
  <si>
    <t>t/Tp</t>
  </si>
  <si>
    <t>q/Qp</t>
  </si>
  <si>
    <t>T (min)</t>
  </si>
  <si>
    <t>TANQUE</t>
  </si>
  <si>
    <t>TOTAL</t>
  </si>
  <si>
    <t>Tipo de Rasante</t>
  </si>
  <si>
    <t>Recubrimiento (m)</t>
  </si>
  <si>
    <t>No. de Capas</t>
  </si>
  <si>
    <t>Altura (m)</t>
  </si>
  <si>
    <t>Ancho (m)</t>
  </si>
  <si>
    <t>Largo (m)</t>
  </si>
  <si>
    <t>Profundidad de fondo (m)</t>
  </si>
  <si>
    <t>Volumen Bruto (m³)</t>
  </si>
  <si>
    <t>Volumen Neto de Agua (m³)</t>
  </si>
  <si>
    <t>Chequeo volumen mínimo</t>
  </si>
  <si>
    <t>TUBERÍA(S) DE ENTRADA</t>
  </si>
  <si>
    <t>Caudal de entrada (l/s)</t>
  </si>
  <si>
    <t>Diámetro Tubería (mm)</t>
  </si>
  <si>
    <t>Pendiente Tubería (%)</t>
  </si>
  <si>
    <t>Longitud Tubería (m)</t>
  </si>
  <si>
    <t>Capacidad máxima del tubo (l/s)</t>
  </si>
  <si>
    <t>Velocidad (m/seg)</t>
  </si>
  <si>
    <t>Conexiones requeridas de acuerdo al caudal de entrada</t>
  </si>
  <si>
    <t>Cantidad de tubería total necesaria (und)</t>
  </si>
  <si>
    <t>TUBERÍA(S) DE REBOSE</t>
  </si>
  <si>
    <t>Caudal de rebose (L/s)</t>
  </si>
  <si>
    <t>TUBERÍA DE DESCARGA</t>
  </si>
  <si>
    <t>Caudal de descarga (l/s)</t>
  </si>
  <si>
    <t>¿DESEAS INCLUIR UNA CÁMARA NOVACAM COMO DESARENADOR?</t>
  </si>
  <si>
    <t>NO</t>
  </si>
  <si>
    <t>Cantidad de Cámaras</t>
  </si>
  <si>
    <t>Diámetro de la cámara (mm)</t>
  </si>
  <si>
    <t>Novacam cuenta con dos diámetros de cámara: De 1000mm y 600mm</t>
  </si>
  <si>
    <t>Tipo de cono (Si aplica)</t>
  </si>
  <si>
    <t>Esta opción aplica únicamente para las cámaras Novacam de 1000mm de diámetro</t>
  </si>
  <si>
    <t>Profundidad (m)</t>
  </si>
  <si>
    <t>¿DESEAS INCLUIR UNA CÁMARA NOVACAM COMO POZO EYECTOR?</t>
  </si>
  <si>
    <t>TIEMPO</t>
  </si>
  <si>
    <t>DE</t>
  </si>
  <si>
    <t>Estos valores son tomados de la sección de Dimensionamiento</t>
  </si>
  <si>
    <t>VACIADO</t>
  </si>
  <si>
    <t>Diámetro de descarga (mm)</t>
  </si>
  <si>
    <t>Diámetro interno (mm)</t>
  </si>
  <si>
    <t>En caso de querer analizar el tiempo de vaciado con una tubería de diferente diámetro a las propuestas (Ej.: Sanitaria PVC) Ingresar el valor del diámetro interno manualmente</t>
  </si>
  <si>
    <t>Tiempo de vaciado (s)</t>
  </si>
  <si>
    <t>El tiempo de vaciado se calcula como función del diámetro interno de salida. Debes verificar un tiempo adecuado para que el tanque.</t>
  </si>
  <si>
    <t>Tiempo de vaciado (h)</t>
  </si>
  <si>
    <t>Se recomienda que este valor sea menor a 12 horas</t>
  </si>
  <si>
    <t>H (m)</t>
  </si>
  <si>
    <t>V (m/s)</t>
  </si>
  <si>
    <t>Q (l/s)</t>
  </si>
  <si>
    <t>Descripción</t>
  </si>
  <si>
    <t>El siguiente procedimiento explica la forma en la cual es calculada el tiempo de vaciado de un tanque de tormenta Aquacell, teniendo en cuenta las dimensiones del tanque y el diámetro interno de salida.</t>
  </si>
  <si>
    <t>REVISIÓN</t>
  </si>
  <si>
    <t>Largo del tanque (m)</t>
  </si>
  <si>
    <t>Estos valores son tomados de la sección de Dimensionamiento.</t>
  </si>
  <si>
    <t>INFILTRACIÓN</t>
  </si>
  <si>
    <t>Ancho del tanque (m)</t>
  </si>
  <si>
    <t>Altura del tanque (m)</t>
  </si>
  <si>
    <t>Área superficial del tanque (m²)</t>
  </si>
  <si>
    <t>Área de drenaje (m²)</t>
  </si>
  <si>
    <t>Área aferente de drenaje del tanque Aquacell, tomado de la sección de Dimensionamiento.</t>
  </si>
  <si>
    <t>Profundidad del análisis (m)</t>
  </si>
  <si>
    <t>Profundidad de la exploración geotécnica en caso de no tener un nivel freático conocido (Ley de Darcy).</t>
  </si>
  <si>
    <r>
      <t xml:space="preserve">Coeficiente de infiltración </t>
    </r>
    <r>
      <rPr>
        <b/>
        <i/>
        <sz val="11"/>
        <color theme="0"/>
        <rFont val="PT Sans Narrow"/>
        <family val="2"/>
      </rPr>
      <t>k</t>
    </r>
    <r>
      <rPr>
        <b/>
        <sz val="11"/>
        <color theme="0"/>
        <rFont val="PT Sans Narrow"/>
        <family val="2"/>
      </rPr>
      <t xml:space="preserve"> (m/s)</t>
    </r>
  </si>
  <si>
    <t>Consecuencias de falla</t>
  </si>
  <si>
    <t>Factor de seguridad</t>
  </si>
  <si>
    <r>
      <t xml:space="preserve">Coeficiente de infiltración recomendado </t>
    </r>
    <r>
      <rPr>
        <b/>
        <i/>
        <sz val="11"/>
        <color theme="0"/>
        <rFont val="PT Sans Narrow"/>
        <family val="2"/>
      </rPr>
      <t>q</t>
    </r>
    <r>
      <rPr>
        <b/>
        <sz val="11"/>
        <color theme="0"/>
        <rFont val="PT Sans Narrow"/>
        <family val="2"/>
      </rPr>
      <t xml:space="preserve"> (m/h)</t>
    </r>
  </si>
  <si>
    <r>
      <t xml:space="preserve">Coeficiente de infiltración final (con FS) </t>
    </r>
    <r>
      <rPr>
        <b/>
        <i/>
        <sz val="11"/>
        <color theme="0"/>
        <rFont val="PT Sans Narrow"/>
        <family val="2"/>
      </rPr>
      <t>q</t>
    </r>
    <r>
      <rPr>
        <b/>
        <sz val="11"/>
        <color theme="0"/>
        <rFont val="PT Sans Narrow"/>
        <family val="2"/>
      </rPr>
      <t xml:space="preserve"> (m/h)</t>
    </r>
  </si>
  <si>
    <t>Intensidad de lluvia (mm/h)</t>
  </si>
  <si>
    <t>Duración del evento (min)</t>
  </si>
  <si>
    <t>Ingresa la duración del evento de lluvia.</t>
  </si>
  <si>
    <t>Hmax (m)</t>
  </si>
  <si>
    <t>En caso de que este valor sea mayor a la altura del tanque, se deberá hacer un ajuste.</t>
  </si>
  <si>
    <t>Tiempo vaciado de la mitad (h)</t>
  </si>
  <si>
    <t>Tiempo necesario para infiltrar la mitad del volumen de almacenamiento.</t>
  </si>
  <si>
    <t>Chequeo de altura de lámina de agua</t>
  </si>
  <si>
    <t>La altura de la lámina de agua (Hmax) calculada para infiltrar el volumen dimensionado, debe ser inferior a la altura total del tanque Aquacell estimada. En caso de no ser así, puedes ajustar las dimensiones del tanque para obtener una altura menor.</t>
  </si>
  <si>
    <t>Chequeo de tiempo de vaciado</t>
  </si>
  <si>
    <t>El tiempo de vaciado de la mitad del volumen de almacenamiento debe ser menor a 24 horas. En caso de no ser así, se deberán ajustar las dimensiones del tanque para obtener un tiempo menor.</t>
  </si>
  <si>
    <t>POR</t>
  </si>
  <si>
    <t>En esta sección se realiza una verificación por flotación debido a que presentas un nivel freático muy superficial el cual puede afectar el funcionamiento del tanque.</t>
  </si>
  <si>
    <t>FLOTACIÓN</t>
  </si>
  <si>
    <t>Área superficial (m²)</t>
  </si>
  <si>
    <t>Esfuerzo generado por el tanque (kg/m²)</t>
  </si>
  <si>
    <t>Cota superior del tanque Aquacell (m)</t>
  </si>
  <si>
    <t>Cota de superficie, terreno o rasante (m)</t>
  </si>
  <si>
    <t>Altura de Excavación (m)</t>
  </si>
  <si>
    <t>Altura de suelo por encima del NF (m)</t>
  </si>
  <si>
    <t>Altura de suelo saturado (m)</t>
  </si>
  <si>
    <t>Peso especifico del suelo (kg/m³)</t>
  </si>
  <si>
    <t>Peso especifico seco del suelo (kg/m³)</t>
  </si>
  <si>
    <t>Esfuerzo de empuje ascendente por flotación (kg/m²)</t>
  </si>
  <si>
    <t>Empuje resistente por el peso del suelo y del Aquacell (kg/m²)</t>
  </si>
  <si>
    <t>Factor de seguridad por flotación (FSF)</t>
  </si>
  <si>
    <t>Lleno mínimo para evitar flotación</t>
  </si>
  <si>
    <t>DESPIECE</t>
  </si>
  <si>
    <t xml:space="preserve">DE </t>
  </si>
  <si>
    <t>EN ESTA PARTE ENCONTRARÁS EL RESUMEN DE CANTIDADES DE MATERIAL TOTALES RESULTANTES DEL DISEÑO DE TU TANQUE AQUACELL.</t>
  </si>
  <si>
    <t>ADEMÁS PODRÁS ELEGIR SI QUIERES INCLUIR CÁMARAS NOVACAM PARA QUE TENGAN LA FUNCIÓN DE POZO SEDIMENTADOR O POZO EYECTOR DE AGUAS LLUVIAS (ESTE PASO ES OPCIONAL).</t>
  </si>
  <si>
    <t>CANTIDADES</t>
  </si>
  <si>
    <t>TOTALES</t>
  </si>
  <si>
    <t>CANTIDAD</t>
  </si>
  <si>
    <t>UNIDAD</t>
  </si>
  <si>
    <t>Volumen tanque requerido</t>
  </si>
  <si>
    <t>[m3]</t>
  </si>
  <si>
    <t>Largo</t>
  </si>
  <si>
    <t>[m]</t>
  </si>
  <si>
    <t>Ancho</t>
  </si>
  <si>
    <t>Alto</t>
  </si>
  <si>
    <t>Área de almacenamiento</t>
  </si>
  <si>
    <t>[m2]</t>
  </si>
  <si>
    <t>Número de Capas AQUACELL  que tendrá el tanque</t>
  </si>
  <si>
    <t>[und]</t>
  </si>
  <si>
    <t>Volumen Bruto</t>
  </si>
  <si>
    <t>Cantidad de unidades Celda AQUACELL</t>
  </si>
  <si>
    <t xml:space="preserve">Volumen neto de agua almacenado  </t>
  </si>
  <si>
    <t>Geomembrana 30 mils</t>
  </si>
  <si>
    <t>Geotextil NT 2500</t>
  </si>
  <si>
    <t>¿DESEAS INCLUIR TUBERÍAS Y LUBRICANTE NOVAFORT EN EL CUADRO DE CANTIDADES DE OBRA?</t>
  </si>
  <si>
    <t>¿DESEAS INCLUIR CÁMARAS NOVACAM PARA DESARENACIÓN O COMO POZO EYECTOR EN EL CUADRO DE CANTIDADES DE OBRA?</t>
  </si>
  <si>
    <t>Página No. 1</t>
  </si>
  <si>
    <t>MEXICHEM COLOMBIA S.A.S.</t>
  </si>
  <si>
    <t>Nit: 860.005.050-1</t>
  </si>
  <si>
    <t>FECHA:</t>
  </si>
  <si>
    <t>ASESOR COMERCIAL:</t>
  </si>
  <si>
    <t>CLIENTE:</t>
  </si>
  <si>
    <t>E-MAIL:</t>
  </si>
  <si>
    <t>PROYECTO:</t>
  </si>
  <si>
    <t>UBICACIÓN:</t>
  </si>
  <si>
    <t>CÁLCULOS INICIALES</t>
  </si>
  <si>
    <t xml:space="preserve"> </t>
  </si>
  <si>
    <t>NOTA: Si es viable la propuesta se realizará posteriormente el diseño detallado del sistema.</t>
  </si>
  <si>
    <t>Página No. 2</t>
  </si>
  <si>
    <t>CÓDIGO</t>
  </si>
  <si>
    <t>DESCRIPCIÓN</t>
  </si>
  <si>
    <t>PRECIO DE LISTA</t>
  </si>
  <si>
    <t>UN</t>
  </si>
  <si>
    <t>--------</t>
  </si>
  <si>
    <t>GEOMEMBRANA 30 MILS</t>
  </si>
  <si>
    <t>GEOTEXTIL NT 2500</t>
  </si>
  <si>
    <t>VENTILACIÓN</t>
  </si>
  <si>
    <t>TUBERÍAS Y ACCESORIOS: DESARENADOR, POZO DE SUCCIÓN, ENTRADAS, REBOSES, DESCARGAS</t>
  </si>
  <si>
    <t>SUBTOTAL</t>
  </si>
  <si>
    <t>IVA</t>
  </si>
  <si>
    <t>ANOTACIONES</t>
  </si>
  <si>
    <t>*</t>
  </si>
  <si>
    <t>Para garantizar el adecuado funcionamiento del tanque de almacenamiento es necesario proporcionar un sistema de ventilación con tubería de 4" PVC Sanitaria, en una proporción de un ducto por cada 100m³ de almacenamiento.</t>
  </si>
  <si>
    <t>REFERENCIAS</t>
  </si>
  <si>
    <t>Y</t>
  </si>
  <si>
    <t>COPYRIGHT</t>
  </si>
  <si>
    <t>United States Department of Agriculture. (2007). Hydrographs. In Part 630 - Hydrology National Engineering Handbook (pp. 16–2-16–4). Natural Resources Conservation Service. https://directives.sc.egov.usda.gov/OpenNonWebContent.aspx?content=17755.wba</t>
  </si>
  <si>
    <t>Woods Ballard. (2015). Infiltration: Design methods. In S. Wilson, H. Udale-Clarke, S. Illman, T. Scott, R. Ashley, &amp; R. Kellagher (Eds.), The SuDS Manual (C753) (Version 5 including errata 2016 ed., pp. 543–599). CIRIA. https://www.ciria.org/Memberships/The_SuDs_Manual_C753_Chapters.aspx</t>
  </si>
  <si>
    <r>
      <t xml:space="preserve">- LOS ICONOS REALIZADOS POR </t>
    </r>
    <r>
      <rPr>
        <b/>
        <i/>
        <sz val="14"/>
        <color theme="0"/>
        <rFont val="PT Sans Narrow"/>
        <family val="2"/>
      </rPr>
      <t>THOSE ICONS (LINEAL)</t>
    </r>
    <r>
      <rPr>
        <b/>
        <sz val="14"/>
        <color theme="0"/>
        <rFont val="PT Sans Narrow"/>
        <family val="2"/>
      </rPr>
      <t xml:space="preserve"> Y DESCARGADOS EN </t>
    </r>
    <r>
      <rPr>
        <b/>
        <i/>
        <sz val="14"/>
        <color theme="0"/>
        <rFont val="PT Sans Narrow"/>
        <family val="2"/>
      </rPr>
      <t>flaticon.com.</t>
    </r>
  </si>
  <si>
    <r>
      <t xml:space="preserve">- IMÁGENES GENERADAS A TRAVÉS DE GRÁFICOS DE </t>
    </r>
    <r>
      <rPr>
        <b/>
        <i/>
        <sz val="14"/>
        <color theme="0"/>
        <rFont val="PT Sans Narrow"/>
        <family val="2"/>
      </rPr>
      <t>Canva.com</t>
    </r>
  </si>
  <si>
    <t>Sin daño o inconveniente</t>
  </si>
  <si>
    <t>Daño menor a áreas externas</t>
  </si>
  <si>
    <t>Daño a estrcuturas o edificios</t>
  </si>
  <si>
    <t>Coeficientes de infiltración típicos basados en la textura del suelo (Bettes, 1996)</t>
  </si>
  <si>
    <t>Factores de Seguridad para uso en el diseño hidráulico de sistemas de infiltración</t>
  </si>
  <si>
    <t>Tipo de suelo/Textura</t>
  </si>
  <si>
    <t>Descripción según ISO 14688-1 (Blake, 2010)</t>
  </si>
  <si>
    <t>Coeficiente de infiltración típico mínimo (m/s)</t>
  </si>
  <si>
    <t>Coeficiente de infiltración típico máximo (m/s)</t>
  </si>
  <si>
    <t>Área a ser drenada mínima (m²)</t>
  </si>
  <si>
    <t>Área a ser drenada máxima (m²)</t>
  </si>
  <si>
    <t>Daño menor a áreas externas (ej. Inundación en parqueadero)</t>
  </si>
  <si>
    <t>Daño a estrcuturas o edificios con inconvenientes mayores</t>
  </si>
  <si>
    <t>Buen medio de infirltración</t>
  </si>
  <si>
    <t>Grava</t>
  </si>
  <si>
    <t>Grava bien gradada o con contenido de arena</t>
  </si>
  <si>
    <t>Arena</t>
  </si>
  <si>
    <t>Arena bien gradada</t>
  </si>
  <si>
    <t>Arena franca</t>
  </si>
  <si>
    <t>Arena con contenido muy bajo de limos y arcillas</t>
  </si>
  <si>
    <t>Suelo franco-arenoso</t>
  </si>
  <si>
    <t>Arena limosa con contenido muy bajo de arcillas</t>
  </si>
  <si>
    <t>Mal medio de infirltración</t>
  </si>
  <si>
    <t>Suelo franco</t>
  </si>
  <si>
    <t>Predominancia de arenas</t>
  </si>
  <si>
    <t>Suelo franco-limoso</t>
  </si>
  <si>
    <t>Predominancia de limos</t>
  </si>
  <si>
    <t>Suelo franco-arenoso con contenido de arcillas</t>
  </si>
  <si>
    <t>Suelo arenoso con un significante contenido de arcillas</t>
  </si>
  <si>
    <t>Muy mal medio de infirltración</t>
  </si>
  <si>
    <t>Suelo franco-arcilloso</t>
  </si>
  <si>
    <t>-</t>
  </si>
  <si>
    <t>Arcilla</t>
  </si>
  <si>
    <t>Ortros</t>
  </si>
  <si>
    <t>Roca</t>
  </si>
  <si>
    <t>Depende de las condiciones y fracturazión del macizo rocoso</t>
  </si>
  <si>
    <t>Coef. de Manning</t>
  </si>
  <si>
    <t>n</t>
  </si>
  <si>
    <t>Propiedades hidráulicas de la tubería</t>
  </si>
  <si>
    <t>Yn/d</t>
  </si>
  <si>
    <t>d</t>
  </si>
  <si>
    <t>Yn</t>
  </si>
  <si>
    <t>θ</t>
  </si>
  <si>
    <t>A</t>
  </si>
  <si>
    <t>P</t>
  </si>
  <si>
    <t>R</t>
  </si>
  <si>
    <t>T</t>
  </si>
  <si>
    <t>D</t>
  </si>
  <si>
    <t>V</t>
  </si>
  <si>
    <t>Q</t>
  </si>
  <si>
    <t>(-)</t>
  </si>
  <si>
    <t>(m)</t>
  </si>
  <si>
    <t>(Rad)</t>
  </si>
  <si>
    <t>(m²)</t>
  </si>
  <si>
    <t>(m/s)</t>
  </si>
  <si>
    <t>(l/s)</t>
  </si>
  <si>
    <t>Rebose</t>
  </si>
  <si>
    <t>Descarga</t>
  </si>
  <si>
    <t>Diámetros Novafort</t>
  </si>
  <si>
    <t>D. NOMINAL (mm)</t>
  </si>
  <si>
    <t>D. INTERNO (mm)</t>
  </si>
  <si>
    <t>Infiltración</t>
  </si>
  <si>
    <t>DIMENSIONAMIENTO TANQUE AQUACELL PARA AMORTIGUACIÓN DE PICOS DE TORMENTA Y REUSO DE AGUAS LLUVIAS</t>
  </si>
  <si>
    <t>CANTIDADES DE MATERIAL</t>
  </si>
  <si>
    <t>OPERADORES TUBERIA -NO ELIMINAR-</t>
  </si>
  <si>
    <t>REBOSE</t>
  </si>
  <si>
    <t>DESCARGA</t>
  </si>
  <si>
    <t>Área de Almacenamiento</t>
  </si>
  <si>
    <t xml:space="preserve">% Adicional Traslapos y Botas </t>
  </si>
  <si>
    <t>%</t>
  </si>
  <si>
    <t xml:space="preserve">% Adicional Traslapos </t>
  </si>
  <si>
    <t>Capas de Geotextil</t>
  </si>
  <si>
    <t>und</t>
  </si>
  <si>
    <t>OPERADORES CONEXIONES -NO ELIMINAR-</t>
  </si>
  <si>
    <t>CANTIDAD DE TUBERÍA Y LUBRICANTE NOVAFORT</t>
  </si>
  <si>
    <t>DIÁMETRO</t>
  </si>
  <si>
    <t>RENDIMIENTO</t>
  </si>
  <si>
    <t>TUBERÍA</t>
  </si>
  <si>
    <t>LUBRICANTE</t>
  </si>
  <si>
    <t>ACCESORIOS ADICIONALES</t>
  </si>
  <si>
    <t>REFERENCIAS ACCESORIOS</t>
  </si>
  <si>
    <t>Reducción 160x110</t>
  </si>
  <si>
    <t>Reducción 250x200</t>
  </si>
  <si>
    <t>Reducción 315x250</t>
  </si>
  <si>
    <t>Adaptador AQ-315</t>
  </si>
  <si>
    <t>Calculo Elevador</t>
  </si>
  <si>
    <t>Altura de Cono (m)</t>
  </si>
  <si>
    <t>Referencia</t>
  </si>
  <si>
    <t>ELEVADOR CÁMARA INSPECCIÓN 600</t>
  </si>
  <si>
    <t>Elevador Cámara I 600x500mm</t>
  </si>
  <si>
    <t>Adaptador AQ-355</t>
  </si>
  <si>
    <t>Concéntrico</t>
  </si>
  <si>
    <t>Excéntrico</t>
  </si>
  <si>
    <t>Elevador Cámara I 600x1000mm</t>
  </si>
  <si>
    <t>TARRO *500gr</t>
  </si>
  <si>
    <t>Elevador nominal</t>
  </si>
  <si>
    <t>Elevador Cámara I 600x1500mm</t>
  </si>
  <si>
    <t>GEOTEXTIL NT2500 3.5</t>
  </si>
  <si>
    <t>GEOTEXTIL NO TEJIDO 2500 3.8</t>
  </si>
  <si>
    <t>Elevador Cámara I 600x2000mm</t>
  </si>
  <si>
    <t>OPERADORES NOVACAM -NO ELIMINAR-</t>
  </si>
  <si>
    <t>Base 1000</t>
  </si>
  <si>
    <t>Elevador Cámara I 600x2500mm</t>
  </si>
  <si>
    <t>Base Cámara</t>
  </si>
  <si>
    <t>Elevador</t>
  </si>
  <si>
    <t>Cono</t>
  </si>
  <si>
    <t>Aro Tapa</t>
  </si>
  <si>
    <t>Hmin</t>
  </si>
  <si>
    <t>Hmax</t>
  </si>
  <si>
    <t>Elevador Nom</t>
  </si>
  <si>
    <t>Desarenador</t>
  </si>
  <si>
    <t>Elevador Cámara I 600x3000mm</t>
  </si>
  <si>
    <t>Pozo Eyector</t>
  </si>
  <si>
    <t>Elevador Cámara I 600x3500mm</t>
  </si>
  <si>
    <t>Profundidad máxima superada</t>
  </si>
  <si>
    <t>Elevador Cámara I 600x4000mm</t>
  </si>
  <si>
    <t>ELEVADOR CÁMARA INSPECCIÓN 1000</t>
  </si>
  <si>
    <t>Base 600</t>
  </si>
  <si>
    <t>Elevador Cámara I 1000x500mm</t>
  </si>
  <si>
    <t>Elevador Cámara I 1000x1000mm</t>
  </si>
  <si>
    <t>Profundidad máxima alcanzada</t>
  </si>
  <si>
    <t>Elevador Cámara I 1000x1500mm</t>
  </si>
  <si>
    <t>Elevador Cámara I 1000x2000mm</t>
  </si>
  <si>
    <t>Elevador Cámara I 1000x2500mm</t>
  </si>
  <si>
    <t>Elevador Cámara I 1000x3000mm</t>
  </si>
  <si>
    <t>Elevador Cámara I 1000x3500mm</t>
  </si>
  <si>
    <t>Elevador Cámara I 1000x4750mm</t>
  </si>
  <si>
    <t>Elevador Cámara I 1000x6000mm</t>
  </si>
  <si>
    <t>REFENCIA</t>
  </si>
  <si>
    <t>ITEM</t>
  </si>
  <si>
    <t>PRECIO</t>
  </si>
  <si>
    <t>ABRAZADERA 160MM SILLA KIT AC INOX</t>
  </si>
  <si>
    <t>ABRAZADERA 200MM SILLA KIT AC INOX</t>
  </si>
  <si>
    <t>ABRAZADERA 250MM SILLA KIT AC INOX</t>
  </si>
  <si>
    <t>ABRAZADERA 315MM SILLA KIT AC INOX</t>
  </si>
  <si>
    <t>CAUCHO SILLA TEE KIT S8 160X110MM</t>
  </si>
  <si>
    <t>CAUCHO SILLA TEE KIT S8 200X110MM</t>
  </si>
  <si>
    <t>CAUCHO SILLA TEE KIT S8 200X160MM</t>
  </si>
  <si>
    <t>CAUCHO SILLA TEE KIT S8 250X110MM</t>
  </si>
  <si>
    <t>CAUCHO SILLA TEE KIT S8 250X160MM</t>
  </si>
  <si>
    <t>CAUCHO SILLA TEE KIT S8 315X110MM</t>
  </si>
  <si>
    <t>CAUCHO SILLA TEE KIT S8 315X160MM</t>
  </si>
  <si>
    <t>CAUCHO SILLA YEE KIT S8 160X110MM</t>
  </si>
  <si>
    <t>CAUCHO SILLA YEE KIT S8 200X110MM</t>
  </si>
  <si>
    <t>CAUCHO SILLA YEE KIT S8 200X160MM</t>
  </si>
  <si>
    <t>CAUCHO SILLA YEE KIT S8 250X110MM</t>
  </si>
  <si>
    <t>CAUCHO SILLA YEE KIT S8 250X160MM</t>
  </si>
  <si>
    <t>CAUCHO SILLA YEE KIT S8 315X110MM</t>
  </si>
  <si>
    <t>CAUCHO SILLA YEE KIT S8 315X160MM</t>
  </si>
  <si>
    <t>HIDROSEL CAMARA I 1000</t>
  </si>
  <si>
    <t>HIDROSEL CAN RAING 19.5CM - 1 UN</t>
  </si>
  <si>
    <t>HIDROSEL NOVAFORT 110MM(4)</t>
  </si>
  <si>
    <t>HIDROSEL NOVAFORT 160MM(6)</t>
  </si>
  <si>
    <t>HIDROSEL NOVAFORT 200MM(8)</t>
  </si>
  <si>
    <t>HIDROSEL NOVAFORT 250MM(10)</t>
  </si>
  <si>
    <t>HIDROSEL NOVAFORT 315MM(12)</t>
  </si>
  <si>
    <t>HIDROSEL NOVAFORT 400MM(16)</t>
  </si>
  <si>
    <t>HIDROSEL NOVAFORT 450MM(18)</t>
  </si>
  <si>
    <t>HIDROSEL NOVAFORT 500MM(20)</t>
  </si>
  <si>
    <t>HIDROSEL NOVALOC 24</t>
  </si>
  <si>
    <t>HIDROSEL NOVALOC 27</t>
  </si>
  <si>
    <t>HIDROSEL NOVALOC 30</t>
  </si>
  <si>
    <t>HIDROSEL NOVALOC 33</t>
  </si>
  <si>
    <t>HIDROSEL NOVALOC 39</t>
  </si>
  <si>
    <t>HIDROSEL NOVALOC 42</t>
  </si>
  <si>
    <t>HIDROSEL NOVALOC 45</t>
  </si>
  <si>
    <t>HIDROSEL NOVALOC 48</t>
  </si>
  <si>
    <t>HIDROSEL NOVALOC 51</t>
  </si>
  <si>
    <t>HIDROSEL NOVALOC 54</t>
  </si>
  <si>
    <t>HIDROSEL NOVALOC 60</t>
  </si>
  <si>
    <t>HIDROSEL RIEGO COMP 10</t>
  </si>
  <si>
    <t>HIDROSEL RIEGO COMP 6</t>
  </si>
  <si>
    <t>HIDROSEL RIEGO COMP 8</t>
  </si>
  <si>
    <t>SILLETA RIEGO</t>
  </si>
  <si>
    <t>HIDROSEL CAMARA I NOVAFORT 600MM</t>
  </si>
  <si>
    <t>HIDROSEL NOVAFORT PLUS 700MM(27)</t>
  </si>
  <si>
    <t>HIDROSEL NOVAFORT PLUS 800MM(30) (BLQ)</t>
  </si>
  <si>
    <t>BISEL ALC NOVALOC 24</t>
  </si>
  <si>
    <t>BISEL ALC NOVALOC 27</t>
  </si>
  <si>
    <t>BISEL ALC NOVALOC 30</t>
  </si>
  <si>
    <t>BISEL ALC NOVALOC 33</t>
  </si>
  <si>
    <t>BISEL ALC NOVALOC 36</t>
  </si>
  <si>
    <t>HIDROSEL CAMARA I 600</t>
  </si>
  <si>
    <t>HIDROSEL NOVAFORT PLUS 355MM(14)</t>
  </si>
  <si>
    <t>HIDROSEL NOVAFORT PLUS S4 250MM(10)</t>
  </si>
  <si>
    <t>HIDROSEL NOVAFORT PLUS S4 400MM(16)</t>
  </si>
  <si>
    <t>BISEL ALC NOVALOC 39</t>
  </si>
  <si>
    <t>BISEL ALC NOVALOC 42</t>
  </si>
  <si>
    <t>BISEL ALC NOVALOC 45</t>
  </si>
  <si>
    <t>BISEL ALC NOVALOC 48</t>
  </si>
  <si>
    <t>BISEL ALC NOVALOC 51</t>
  </si>
  <si>
    <t>BISEL ALC NOVALOC 54</t>
  </si>
  <si>
    <t>BISEL ALC NOVALOC 60 (BLQ)</t>
  </si>
  <si>
    <t>CAUCHO SILLA YEE KIT PLUS S4 315X160MM</t>
  </si>
  <si>
    <t>CAUCHO SILLA YEE KIT PLUS S4 200X160MM</t>
  </si>
  <si>
    <t>CAUCHO SILLA YEE KIT PLUS S4 250X160MM</t>
  </si>
  <si>
    <t>HIDROSEL MAMBO BIAXIAL 14</t>
  </si>
  <si>
    <t>BISEL ALC NOVALOC PS10 60</t>
  </si>
  <si>
    <t>HIDROSEL NOVAFORT PLUS 898MM(33)</t>
  </si>
  <si>
    <t>HIDROSEL NOVAFORT PLUS 980MM(36)</t>
  </si>
  <si>
    <t>HIDROSEL MAMBO BIAXIAL 4 (BLQ)</t>
  </si>
  <si>
    <t>HIDROSEL MAMBO BIAXIAL 6 (BLQ)</t>
  </si>
  <si>
    <t>HIDROSEL MAMBO BIAXIAL 8 (BLQ)</t>
  </si>
  <si>
    <t>HIDROSEL MAMBO BIAXIAL 10 (BLQ)</t>
  </si>
  <si>
    <t>HIDROSEL MAMBO BIAXIAL 12 (BLQ)</t>
  </si>
  <si>
    <t>HIDROSEL MAMBO BIAXIAL 3 (BLQ)</t>
  </si>
  <si>
    <t>HIDROSEL MAMBO BIAXIAL 16 (BLQ)</t>
  </si>
  <si>
    <t>HIDROSEL MAMBO BIAXIAL 18</t>
  </si>
  <si>
    <t>HIDROSEL MAMBO BIAXIAL 20</t>
  </si>
  <si>
    <t>HIDROSEL NOVAFORT 1000MM(39)</t>
  </si>
  <si>
    <t>HIDROSEL NOVAFORT 1050MM(42)</t>
  </si>
  <si>
    <t>HIDROSEL NOVAFORT 600MM(24)</t>
  </si>
  <si>
    <t>HIDROSEL NOVAFORT 800MM(30)</t>
  </si>
  <si>
    <t>HIDROSEL IPS TURNER BIAXIAL 16</t>
  </si>
  <si>
    <t>HIDROSEL CAMARA I NOVAFORT 1000MM</t>
  </si>
  <si>
    <t>HIDROSEL IPS TURNER BIAXIAL 3</t>
  </si>
  <si>
    <t>HIDROSEL IPS TURNER BIAXIAL 4</t>
  </si>
  <si>
    <t>HIDROSEL IPS TURNER BIAXIAL 6</t>
  </si>
  <si>
    <t>HIDROSEL IPS TURNER BIAXIAL 8</t>
  </si>
  <si>
    <t>HIDROSEL IPS TURNER BIAXIAL 10</t>
  </si>
  <si>
    <t>HIDROSEL IPS TURNER BIAXIAL 12</t>
  </si>
  <si>
    <t>HIDROSEL IPS TURNER BIAXIAL 14</t>
  </si>
  <si>
    <t>HIDROSEL CAN AMAZONA 32CM TIPO V - 1 UN</t>
  </si>
  <si>
    <t>HIDROSEL CAN AMAZONA 32CM TIPOV- PQ 2UN</t>
  </si>
  <si>
    <t>CLIP AQUACELL (BLQ)</t>
  </si>
  <si>
    <t>TB ACU 2 UM RDE21 200PSI 6M</t>
  </si>
  <si>
    <t>TB ACU 2 UM RDE26 160PSI 6M</t>
  </si>
  <si>
    <t>TB ACU 2 UM RDE32.5 125PSI 6M</t>
  </si>
  <si>
    <t>TB ACU 2 UM RDE41 100PSI 6M</t>
  </si>
  <si>
    <t>TB ACU 2.1/2 UM RDE21 200PSI 6M</t>
  </si>
  <si>
    <t>TB ACU 2.1/2 UM RDE26 160PSI 6M</t>
  </si>
  <si>
    <t>TB ACU 3 UM RDE21 200PSI 6M</t>
  </si>
  <si>
    <t>TB ACU 3 UM RDE26 160PSI 6M</t>
  </si>
  <si>
    <t>TB ACU 3 UM RDE32.5 125PSI 6M</t>
  </si>
  <si>
    <t>TB ACU 3 UM RDE41 100PSI 6M</t>
  </si>
  <si>
    <t>TB ACU 3 UM RDE51 6M</t>
  </si>
  <si>
    <t>TB ACU 4 UM RDE13.5 315PSI 6M</t>
  </si>
  <si>
    <t>TB ACU 4 UM RDE21 200PSI 6M</t>
  </si>
  <si>
    <t>TB ACU 4 UM RDE26 160PSI 6M</t>
  </si>
  <si>
    <t>TB ACU 4 UM RDE32.5 125PSI 6M</t>
  </si>
  <si>
    <t>TB ACU 4 UM RDE41 100PSI 6M</t>
  </si>
  <si>
    <t>TB ACU 4 UM RDE51 6M</t>
  </si>
  <si>
    <t>TB ACU 6 UM RDE21 200PSI 6M</t>
  </si>
  <si>
    <t>TB ACU 6 UM RDE26 160PSI 6M</t>
  </si>
  <si>
    <t>TB ACU 6 UM RDE32.5 125PSI 6M</t>
  </si>
  <si>
    <t>TB ACU 6 UM RDE41 100PSI 6M</t>
  </si>
  <si>
    <t>TB ACU 6 UM RDE51 6M</t>
  </si>
  <si>
    <t>TB ACU 8 UM RDE13.5 315PSI 6M</t>
  </si>
  <si>
    <t>TB ACU 8 UM RDE21 200PSI 6M</t>
  </si>
  <si>
    <t>TB ACU 8 UM RDE32.5 125PSI 6M (BLQ)</t>
  </si>
  <si>
    <t>TB ACU 8 UM RDE41 100PSI 6M</t>
  </si>
  <si>
    <t>TB ACU 8 UM RDE51 6M</t>
  </si>
  <si>
    <t>TB ALC NOVAFORT S8 250MM(10) 6M</t>
  </si>
  <si>
    <t>TB ALC NOVAFORT S8 315MM(12) 6M</t>
  </si>
  <si>
    <t>TB ALC NOVAFORT S8 400MM(16) 6M</t>
  </si>
  <si>
    <t>TB ALC NOVAFORT S8 450MM(18) 6M</t>
  </si>
  <si>
    <t>TB ALC NOVAFORT S8 500MM(20) 6M</t>
  </si>
  <si>
    <t>TB ALC NOVAFORT S8 110MM(4) 6M</t>
  </si>
  <si>
    <t>TB ALC NOVAFORT S8 160MM(6) 6M</t>
  </si>
  <si>
    <t>TB ALC NOVAFORT S8 200MM(8) 6M</t>
  </si>
  <si>
    <t>TB ALC NOVAFORT S4 250MM(10) 6M</t>
  </si>
  <si>
    <t>TB ALC NOVAFORT S4 160MM(6) 6M</t>
  </si>
  <si>
    <t>TB ALC NOVAFORT S4 200MM(8) 6M</t>
  </si>
  <si>
    <t>TB BAJANTE RAINGO 60MM - 10 UN</t>
  </si>
  <si>
    <t>TB BIAX 10 6M PR200</t>
  </si>
  <si>
    <t>TB BIAX 10 6M PR160</t>
  </si>
  <si>
    <t>TB BIAX 12 6M PR200</t>
  </si>
  <si>
    <t>TB BIAX 12 6M PR160</t>
  </si>
  <si>
    <t>TB BIAX 4 6M PR200</t>
  </si>
  <si>
    <t>TB BIAX 4 6M PR160</t>
  </si>
  <si>
    <t>TB BIAX 6 6M PR200</t>
  </si>
  <si>
    <t>TB BIAX 6 6M PR160</t>
  </si>
  <si>
    <t>TB BIAX 8 6M PR200</t>
  </si>
  <si>
    <t>TB BIAX 8 6M PR160</t>
  </si>
  <si>
    <t>TB CANAL AMAZONAS 3M - 4 UN</t>
  </si>
  <si>
    <t>TB CANAL RAINGO 3M - 10 UN</t>
  </si>
  <si>
    <t>TB CONDUIT CORR 1/2 VDE CONDUFLEX 50M</t>
  </si>
  <si>
    <t>TB CONDUIT CORR  3/4 VDE CONDUFLEX 50M</t>
  </si>
  <si>
    <t>TB CONDUIT LISO 1 3M - 24 UN</t>
  </si>
  <si>
    <t>TB CONDUIT LISO 1.1/2 3M - 10 UN</t>
  </si>
  <si>
    <t>TB CONDUIT LISO 1.1/4 3M - 14 UN</t>
  </si>
  <si>
    <t>TB CONDUIT LISO 1/2 3M - 24 UN</t>
  </si>
  <si>
    <t>TB CONDUIT LISO 2 3M</t>
  </si>
  <si>
    <t>TB CONDUIT LISO 3/4 3M - 24 UN</t>
  </si>
  <si>
    <t>TB DRE CORRUG 65MM 150M</t>
  </si>
  <si>
    <t>TB DRE CORRUG 65MM 150M C/FILTRO</t>
  </si>
  <si>
    <t>TB DRE CORRUG 65MM 5M CARRETERA</t>
  </si>
  <si>
    <t>TB DRE CORRUG 100MM 100M</t>
  </si>
  <si>
    <t>TB DRE CORRUG 100MM 100M C/FILTRO</t>
  </si>
  <si>
    <t>TB DRE CORRUG 100MM 5M CARRETERA</t>
  </si>
  <si>
    <t>TB DRE CORRUG 160MM 5M CARRETERA</t>
  </si>
  <si>
    <t>TB DRE CORRUG 160MM 50M</t>
  </si>
  <si>
    <t>TB DRE CORRUG 160MM 50M C/FILTRO</t>
  </si>
  <si>
    <t>TB DRE CORRUG 200MM 35M</t>
  </si>
  <si>
    <t>TB DRE CORRUG 200MM 35M C/FILTRO</t>
  </si>
  <si>
    <t>TB DRE CORRUG 200MM 5M CARRETERA</t>
  </si>
  <si>
    <t>TB DUCTO DB 2X3M</t>
  </si>
  <si>
    <t>TB DUCTO DB 2X6M</t>
  </si>
  <si>
    <t>TB DUCTO DB 3X3M</t>
  </si>
  <si>
    <t>TB DUCTO DB 3X6M</t>
  </si>
  <si>
    <t>TB DUCTO DB 4X6M</t>
  </si>
  <si>
    <t>TB DUCTO DB 6X6M</t>
  </si>
  <si>
    <t>TB DUCTO EB 3X6M</t>
  </si>
  <si>
    <t>TB DUCTO EB 4X6M</t>
  </si>
  <si>
    <t>TB DUCTO EB 6X6M</t>
  </si>
  <si>
    <t>TB DUCTO TDP 3X6M VDE</t>
  </si>
  <si>
    <t>TB DUCTO TDP 4X6M VDE</t>
  </si>
  <si>
    <t>TB DUCTO TDP 6X6M VDE</t>
  </si>
  <si>
    <t>TB CONDUIT CORR 1 VDE  CONDUFLEX 50M</t>
  </si>
  <si>
    <t>TB CONDUIT CORR 1.1/4 VDE CONDUFLEX 50M</t>
  </si>
  <si>
    <t>TB RIEGO NOVARIEGO 160MM(6) 6M</t>
  </si>
  <si>
    <t>TB GAS 1 RDE11 150M PE AMAR</t>
  </si>
  <si>
    <t>TB GAS 1.1/4 RDE11 150M PE AMAR</t>
  </si>
  <si>
    <t>TB GAS 1/2 BCO CONDUGAS</t>
  </si>
  <si>
    <t>TB GAS 1/2 RDE9 150M PE AMAR</t>
  </si>
  <si>
    <t>TB GAS 110MM RDE11 10M PE NAR</t>
  </si>
  <si>
    <t>TB GAS 2 RDE11 100M PE AMAR</t>
  </si>
  <si>
    <t>TB GAS 3 RDE11 10M PE AMAR</t>
  </si>
  <si>
    <t>TB GAS 3/4 RDE11 150M PE AMAR</t>
  </si>
  <si>
    <t>TB GAS 4 RDE11 10M PE AMAR</t>
  </si>
  <si>
    <t>TB GAS 6 RDE11 10M PE AMAR</t>
  </si>
  <si>
    <t>TB GAS 90MM RDE11 10M PE NAR (BLQ)</t>
  </si>
  <si>
    <t>TB RIEGO 1(25MM) PR35 - 100M</t>
  </si>
  <si>
    <t>TB RIEGO 3/4(20MM) PR35 - 100M</t>
  </si>
  <si>
    <t>TB LISO PRE 3/4 RDE11 6M - 24 UN</t>
  </si>
  <si>
    <t>TB LISO PRE 1 RDE13.5 6M - 24 UN</t>
  </si>
  <si>
    <t>TB LISO PRE 1 RDE21 6M - 24 UN</t>
  </si>
  <si>
    <t>TB LISO PRE 1.1/4 RDE21 6M - 24 UN</t>
  </si>
  <si>
    <t>TB LISO PRE 2.1/2 RDE21 6M</t>
  </si>
  <si>
    <t>TB LISO PRE 3 RDE21 6M</t>
  </si>
  <si>
    <t>TB LISO PRE 3/4 RDE21 6M - 24 UN</t>
  </si>
  <si>
    <t>TB LISO PRE 4 RDE21 6M</t>
  </si>
  <si>
    <t>TB RIEGO 1 RDE26 6M - 24 UN</t>
  </si>
  <si>
    <t>TB RIEGO 1.1/2 RDE26 6M</t>
  </si>
  <si>
    <t>TB LISO PRE 2 RDE26 6M</t>
  </si>
  <si>
    <t>TB LISO PRE 3 RDE26 6M</t>
  </si>
  <si>
    <t>TB LISO PRE 1/2 RDE9 PPAC 3ML - 6UN</t>
  </si>
  <si>
    <t>TB LISO PRE 1/2 RDE9 6M - 24 UN</t>
  </si>
  <si>
    <t>TB PE FOPT 32MM RDE13.5 OPTIF 500M (BLQ)</t>
  </si>
  <si>
    <t>TB PE FOPT 40MM RDE13.5 MULTF 400M</t>
  </si>
  <si>
    <t>TB PE FOPT 40MM RDE13.5 OPTIF 500M</t>
  </si>
  <si>
    <t>TB PRE 110MM PE100 50M PN10</t>
  </si>
  <si>
    <t>TB PRE 110MM PE100 50M PN16</t>
  </si>
  <si>
    <t>TB PRE 16MM PE40 150M PN10</t>
  </si>
  <si>
    <t>TB PRE 160MM PE100 6M PN10</t>
  </si>
  <si>
    <t>TB PRE 160MM PE100 6M PN16</t>
  </si>
  <si>
    <t>TB PRE 20MM PE40 150M PN10</t>
  </si>
  <si>
    <t>TB PRE 25MM PE40 150M PN10</t>
  </si>
  <si>
    <t>TB PRE 32MM PE40 150M PN10</t>
  </si>
  <si>
    <t>TB PRE 63MM PE100 100M PN10</t>
  </si>
  <si>
    <t>TB PRE 63MM PE100 100M PN16</t>
  </si>
  <si>
    <t>TB PRE 90MM PE100 100M PN10</t>
  </si>
  <si>
    <t>TB PRE 90MM PE100 100M PN16</t>
  </si>
  <si>
    <t>TB PF 1/2 RDE9 90M</t>
  </si>
  <si>
    <t>TB PF 3/4 RDE9 90M</t>
  </si>
  <si>
    <t>TB RIEGO NOVARIEGO 250MM(10) 6M</t>
  </si>
  <si>
    <t>TB RIEGO NOVARIEGO 315MM(12) 6M</t>
  </si>
  <si>
    <t>TB RIEGO NOVARIEGO 400MM(16) 6M</t>
  </si>
  <si>
    <t>TB RIEGO NOVARIEGO 450MM(18) 6M</t>
  </si>
  <si>
    <t>TB RIEGO NOVARIEGO 500MM(20) 6M</t>
  </si>
  <si>
    <t>TB RIEGO NOVARIEGO 200MM(8) 6M</t>
  </si>
  <si>
    <t>TB SAN 1.1/2 6M</t>
  </si>
  <si>
    <t>TB SAN 2 6M LINEA NOVATEC</t>
  </si>
  <si>
    <t>TB SAN 3 6M LINEA NOVATEC</t>
  </si>
  <si>
    <t>TB SAN 4 6M LINEA NOVATEC</t>
  </si>
  <si>
    <t>TB SAN 4 6M</t>
  </si>
  <si>
    <t>TB SAN 6 6M LINEA NOVATEC</t>
  </si>
  <si>
    <t>TB SAN 6 6M</t>
  </si>
  <si>
    <t>TB VENT 1.1/2 6M</t>
  </si>
  <si>
    <t>TB VENT 2 6M</t>
  </si>
  <si>
    <t>TB VENT 3 6M</t>
  </si>
  <si>
    <t>TB VENT 4 6M</t>
  </si>
  <si>
    <t>TB RIEGO 1/2(16MM) PR35 - 100M</t>
  </si>
  <si>
    <t>TB LISO PRE 3 RDE11 6M</t>
  </si>
  <si>
    <t>TB LISO PRE 4 RDE11 6M</t>
  </si>
  <si>
    <t>TB ACU 3 UM RDE13.5</t>
  </si>
  <si>
    <t>TB ACU 6 UM RDE13.5</t>
  </si>
  <si>
    <t>TB ACU 4 UM RDE17 (BLQ)</t>
  </si>
  <si>
    <t>TB LISO PRE 1.1/2 RDE21 3M</t>
  </si>
  <si>
    <t>TB VENT 3 3M</t>
  </si>
  <si>
    <t>TB VENT 4 3M</t>
  </si>
  <si>
    <t>TB LISO PRE 1/2 RDE9 3M - 24 UN</t>
  </si>
  <si>
    <t>TB LISO PRE 1/2 RDE13.5 3M - 24 UN</t>
  </si>
  <si>
    <t>TB LISO PRE 3/4 RDE11 3M - 24 UN</t>
  </si>
  <si>
    <t>TB LISO PRE 3/4 RDE21 3M - 24 UN</t>
  </si>
  <si>
    <t>TB LISO PRE 1 RDE13.5 3M - 24 UN</t>
  </si>
  <si>
    <t>TB VENT 2 3M</t>
  </si>
  <si>
    <t>TB LISO PRE 1.1/4 RDE21 3M - 24 UN</t>
  </si>
  <si>
    <t>TB LISO PRE 2 RDE21 3M</t>
  </si>
  <si>
    <t>TB LISO PRE 1 RDE21 3M - 24 UN</t>
  </si>
  <si>
    <t>TB SAN 3 3M</t>
  </si>
  <si>
    <t>TB SAN 2 3M</t>
  </si>
  <si>
    <t>TB SAN 4 3M</t>
  </si>
  <si>
    <t>TB SAN 1.1/2 3M</t>
  </si>
  <si>
    <t>TB VENT 1.1/2 3M</t>
  </si>
  <si>
    <t>TB CONDUIT LISO 1/2 PPAC - 10UN</t>
  </si>
  <si>
    <t>TB SAN 8 6M</t>
  </si>
  <si>
    <t>TB SAN 10 6M</t>
  </si>
  <si>
    <t>TB ACU 6 UZ RDE17 6M (BLQ)</t>
  </si>
  <si>
    <t>TB ACU 8 UZ RDE17 6M (BLQ)</t>
  </si>
  <si>
    <t>TB LISO PRE 1/2 RDE9 EASY-8X3M - 8 UN</t>
  </si>
  <si>
    <t>TB CONDUIT 1/2 EASY-12X3M - 12 UN (BLQ)</t>
  </si>
  <si>
    <t>TB LISO RIEGO 1.1/2 RDE32.5 6M</t>
  </si>
  <si>
    <t>TB ALC NOVAFORT S4 PLUS 670MM(27) 6.5M</t>
  </si>
  <si>
    <t>UNION ALC S4 PLUS 670MM(27) NOVAFORT</t>
  </si>
  <si>
    <t>UNION ALC S4 747MM(30) NOVAFORT</t>
  </si>
  <si>
    <t>TB BIAX 14 6M PR160</t>
  </si>
  <si>
    <t>TB BIAX 14 6M PR200</t>
  </si>
  <si>
    <t>TB LISO PRE 1/2 RDE9 1M - 48UN</t>
  </si>
  <si>
    <t>TB PRE 32MM PE100 100M PN16</t>
  </si>
  <si>
    <t>SOLDADURA PVC 4MM BARRA NOVALOC</t>
  </si>
  <si>
    <t>ADAPT ALC 110MM EXC NOVAFORT</t>
  </si>
  <si>
    <t>ADAPT ALC 160MM EXC NOVAFORT</t>
  </si>
  <si>
    <t>ADAPT ALC 200MM EXC NOVAFORT</t>
  </si>
  <si>
    <t>ADAPT BAJANTE RAINGO 60MMX3 - 20 UN</t>
  </si>
  <si>
    <t>ADAPT BAJANTE RAINGO 60MMX4 - 25 UN</t>
  </si>
  <si>
    <t>ADAPT CONDUIT CAJA 1 - 100 UN</t>
  </si>
  <si>
    <t>ADAPT CONDUIT CAJA 1/2 - 500 UN</t>
  </si>
  <si>
    <t>ADAPT CONDUIT CAJA 3/4 - 100 UN</t>
  </si>
  <si>
    <t>ADAPT LIMPIEZA SAN 2 - 100 UN</t>
  </si>
  <si>
    <t>ADAPT LIMPIEZA SAN 3 - 50 UN</t>
  </si>
  <si>
    <t>ADAPT LIMPIEZA SAN 4 - 25 UN</t>
  </si>
  <si>
    <t>ADAPT LIMPIEZA SAN 6 - 20 UN</t>
  </si>
  <si>
    <t>ADAPT DE SIFON 1.1/2 BCO - 50 UN</t>
  </si>
  <si>
    <t>ADAPT ROS HEM PF 1/2 - 50 UN</t>
  </si>
  <si>
    <t>ADAPT ROS HEM 1 - 200 UN</t>
  </si>
  <si>
    <t>ADAPT ROS HEM 1.1/2 - 100 UN</t>
  </si>
  <si>
    <t>ADAPT ROS HEM 1.1/4 - 100 UN</t>
  </si>
  <si>
    <t>ADAPT ROS HEM 1/2 - 1.000 UN</t>
  </si>
  <si>
    <t>ADAPT ROS HEM 2 - 100 UN</t>
  </si>
  <si>
    <t>ADAPT ROS HEM 2.1/2 - 25 UN</t>
  </si>
  <si>
    <t>ADAPT ROS HEM 3 - 25 UN</t>
  </si>
  <si>
    <t>ADAPT ROS HEM 3/4 - 300 UN</t>
  </si>
  <si>
    <t>ADAPT ROS HEM 4 - 20 UN</t>
  </si>
  <si>
    <t>ADAPT ROS MACH PF 1/2 - 40 UN</t>
  </si>
  <si>
    <t>ADAPT ROS MACH 1 SCH40 - 200 UN</t>
  </si>
  <si>
    <t>ADAPT ROS MACH 1.1/2 SCH40 - 100 UN</t>
  </si>
  <si>
    <t>ADAPT ROS MACH 1.1/4 SCH40 - 100 UN</t>
  </si>
  <si>
    <t>ADAPT ROS MACH 1/2 SCH40 - 1.000 UN</t>
  </si>
  <si>
    <t>ADAPT ROS MACH 2 SCH40 - 100 UN</t>
  </si>
  <si>
    <t>ADAPT ROS MACH 2.1/2 SCH40 - 25 UN</t>
  </si>
  <si>
    <t>ADAPT ROS MACH 3 - 50 UN</t>
  </si>
  <si>
    <t>ADAPT ROS MACH 3/4 SCH40 - 500 UN</t>
  </si>
  <si>
    <t>ADAPT ROS MACH 4 SCH40 - 20 UN</t>
  </si>
  <si>
    <t>ADAPT TERM CONDUIT 1 - 200 UN</t>
  </si>
  <si>
    <t>ADAPT TERM CONDUIT 1.1/2 - 100 UN</t>
  </si>
  <si>
    <t>ADAPT TERM CONDUIT 1.1/4 - 200 UN</t>
  </si>
  <si>
    <t>ADAPT TERM CONDUIT 1/2 - 1.000 UN</t>
  </si>
  <si>
    <t>ADAPT TERM CONDUIT 2 - 100 UN</t>
  </si>
  <si>
    <t>ADAPT TERM DB/EB 2 DUCTO - 100 UN</t>
  </si>
  <si>
    <t>ADAPT TERM CONDUIT 3 - 50 UN</t>
  </si>
  <si>
    <t>ADAPT TERM DB/EB 3 DUCTO - 25 UN</t>
  </si>
  <si>
    <t>ADAPT TERM CONDUIT 3/4 - 500 UN</t>
  </si>
  <si>
    <t>ADAPT TERM TDP 4 - 25 UN</t>
  </si>
  <si>
    <t>ADAPT TERM DB/EB 4 DUCTO - 25 UN</t>
  </si>
  <si>
    <t>ADAPT TERM DB/EB 6 DUCTO - 5 UN</t>
  </si>
  <si>
    <t>BUJE RIEGO PRE 1/2X16MM - 500 UN</t>
  </si>
  <si>
    <t>BUJE PRE 1X1/2 ROSC - 250 UN</t>
  </si>
  <si>
    <t>BUJE PRE 1X1/2 SOLD - 500 UN</t>
  </si>
  <si>
    <t>BUJE PRE 1X3/4 ROSC - 250 UN</t>
  </si>
  <si>
    <t>BUJE PRE 1X3/4 SOLD - 250 UN</t>
  </si>
  <si>
    <t>BUJE PRE 1.1/2X1 ROSC - 200 UN</t>
  </si>
  <si>
    <t>BUJE PRE 1.1/2X1 SOLD - 200 UN</t>
  </si>
  <si>
    <t>BUJE PRE 1.1/2X1.1/4 ROSC - 200 UN</t>
  </si>
  <si>
    <t>BUJE PRE 1.1/2X1.1/4 SOLD - 200 UN</t>
  </si>
  <si>
    <t>BUJE PRE 1.1/2X1/2 ROSC - 200 UN</t>
  </si>
  <si>
    <t>BUJE PRE 1.1/2X1/2 SOLD - 200 UN</t>
  </si>
  <si>
    <t>BUJE PRE 1.1/2X3/4 ROSC - 200 UN</t>
  </si>
  <si>
    <t>BUJE PRE 1.1/2X3/4 SOLD - 200 UN</t>
  </si>
  <si>
    <t>BUJE PRE 1.1/4X1 ROSC - 200 UN</t>
  </si>
  <si>
    <t>BUJE PRE 1.1/4X1 SOLD - 200 UN</t>
  </si>
  <si>
    <t>BUJE PRE 1.1/4X1/2 ROSC - 200 UN</t>
  </si>
  <si>
    <t>BUJE PRE 1.1/4X1/2 SOLD - 200 UN</t>
  </si>
  <si>
    <t>BUJE PRE 1.1/4X3/4 ROSC - 200 UN</t>
  </si>
  <si>
    <t>BUJE PRE 1.1/4X3/4 SOLD - 200 UN</t>
  </si>
  <si>
    <t>BUJE PRE 1/2X1/4 ROSC - 500 UN</t>
  </si>
  <si>
    <t>BUJE PRE 1/2X3/8 ROSC - 500 UN</t>
  </si>
  <si>
    <t>BUJE PRE 2X1 ROSC - 100 UN</t>
  </si>
  <si>
    <t>BUJE PRE 2X1 SOLD - 100 UN</t>
  </si>
  <si>
    <t>BUJE PRE 2X1.1/2 ROSC - 100 UN</t>
  </si>
  <si>
    <t>BUJE PRE 2X1.1/2 SOLD - 100 UN</t>
  </si>
  <si>
    <t>BUJE PRE 2X1.1/4 ROSC - 100 UN</t>
  </si>
  <si>
    <t>BUJE PRE 2X1.1/4 SOLD - 100 UN</t>
  </si>
  <si>
    <t>BUJE PRE 2X1/2 ROSC - 100 UN</t>
  </si>
  <si>
    <t>BUJE PRE 2X1/2 SOLD - 100 UN</t>
  </si>
  <si>
    <t>BUJE PRE 2X3/4 ROSC - 100 UN</t>
  </si>
  <si>
    <t>BUJE PRE 2X3/4 SOLD - 100 UN</t>
  </si>
  <si>
    <t>BUJE PRE 2.1/2X1.1/2 ROSC - 50 UN</t>
  </si>
  <si>
    <t>BUJE PRE 2.1/2X1.1/2 SOLD - 50 UN</t>
  </si>
  <si>
    <t>BUJE PRE 2.1/2X2 ROSC - 50 UN</t>
  </si>
  <si>
    <t>BUJE PRE 2.1/2X2 SOLD - 50 UN</t>
  </si>
  <si>
    <t>BUJE PRE 3X2 ROSC - 50 UN</t>
  </si>
  <si>
    <t>BUJE PRE 3X2 SOLD - 50 UN</t>
  </si>
  <si>
    <t>BUJE PRE 3X2.1/2 SOLD - 50 UN</t>
  </si>
  <si>
    <t>BUJE PRE 3/4X1/2 ROSC - 500 UN</t>
  </si>
  <si>
    <t>BUJE PRE 3/4X1/2 SOLD - 500 UN</t>
  </si>
  <si>
    <t>BUJE PRE 4X2 SOLD - 25 UN</t>
  </si>
  <si>
    <t>BUJE PRE 4X2.1/2 SOLD - 25 UN</t>
  </si>
  <si>
    <t>BUJE PRE 4X3 ROSC - 25 UN</t>
  </si>
  <si>
    <t>BUJE PRE 4X3 SOLD - 25 UN</t>
  </si>
  <si>
    <t>BUJE SAN 2X1.1/2 SOLD - 200 UN</t>
  </si>
  <si>
    <t>BUJE SAN 3X1.1/2 SOLD - 100 UN</t>
  </si>
  <si>
    <t>BUJE SAN 3X2 SOLD - 100 UN</t>
  </si>
  <si>
    <t>BUJE SAN 4X2 SOLD - 50 UN</t>
  </si>
  <si>
    <t>BUJE SAN 4X3 SOLD - 50 UN</t>
  </si>
  <si>
    <t>BUJE SAN 6X4 SOLD - 20 UN</t>
  </si>
  <si>
    <t>CAJA CONDUIT DOBLE 107X107X48MM - 50 UN</t>
  </si>
  <si>
    <t>CAJA CONDUIT OCTOGONA 100X100X47MM-100UN</t>
  </si>
  <si>
    <t>CAJA CONDUIT SENC 103X60X45MM - 100 UN</t>
  </si>
  <si>
    <t>CODO ALC 45 110MM NOVAFORT</t>
  </si>
  <si>
    <t>CODO ALC 45 160MM NOVAFORT</t>
  </si>
  <si>
    <t>CODO ALC 90 110MM NOVAFORT</t>
  </si>
  <si>
    <t>CODO ALC 90 160MM NOVAFORT</t>
  </si>
  <si>
    <t>CODO BAJANTE 45 60MM - 25 UN</t>
  </si>
  <si>
    <t>CODO BAJANTE 90 60MM - 25 UN</t>
  </si>
  <si>
    <t>CODO DRE 90 65MM CORDREN - 50 UN</t>
  </si>
  <si>
    <t>CODO PF 90 1/2 PF - 50 UN</t>
  </si>
  <si>
    <t>CODO PRE 45 1 SCH40 - 200 UN</t>
  </si>
  <si>
    <t>CODO PRE 45 1.1/2 SCH40 - 100 UN</t>
  </si>
  <si>
    <t>CODO PRE 45 1.1/4 SCH40 - 150 UN</t>
  </si>
  <si>
    <t>CODO PRE 45 1/2 - 500 UN</t>
  </si>
  <si>
    <t>CODO PRE 45 2 SCH40 - 25 UN</t>
  </si>
  <si>
    <t>CODO PRE 45 2.1/2 SCH40 - 25 UN</t>
  </si>
  <si>
    <t>CODO PRE 45 3 SCH40 - 25 UN</t>
  </si>
  <si>
    <t>CODO PRE 45 3/4 SCH40 - 250 UN</t>
  </si>
  <si>
    <t>CODO PRE 45 4 SCH40 - 10 UN</t>
  </si>
  <si>
    <t>CODO PRE 90 1 SCH40 - 250 UN</t>
  </si>
  <si>
    <t>CODO PRE 90 1.1/2 SCH40 - 100 UN</t>
  </si>
  <si>
    <t>CODO PRE 90 1.1/4 SCH40 - 100 UN</t>
  </si>
  <si>
    <t>CODO PRE 90 1/2 SCH40 - 500 UN</t>
  </si>
  <si>
    <t>CODO PRE 90 2 SCH40 - 50 UN</t>
  </si>
  <si>
    <t>CODO PRE 90 2.1/2 SCH40 - 25 UN</t>
  </si>
  <si>
    <t>CODO PRE 90 3 SCH40 - 20 UN</t>
  </si>
  <si>
    <t>CODO PRE 90 3/4 SCH40 - 300 UN</t>
  </si>
  <si>
    <t>CODO PRE 90 4 SCH40 - 10 UN</t>
  </si>
  <si>
    <t>CODO SAN REVENT 3X2 - 25 UN</t>
  </si>
  <si>
    <t>CODO SAN REVENT 4X2 - 10 UN</t>
  </si>
  <si>
    <t>CODO SAN 22.1/2 2 CXC - 50 UN</t>
  </si>
  <si>
    <t>CODO SAN 22.1/2 2 CXE - 50 UN</t>
  </si>
  <si>
    <t>CODO SAN 22.1/2 3 CXC - 20 UN</t>
  </si>
  <si>
    <t>CODO SAN 22.1/2 3 CXE - 20 UN</t>
  </si>
  <si>
    <t>CODO SAN 22.1/2 4 CXC - 20 UN</t>
  </si>
  <si>
    <t>CODO SAN 22.1/2 4 CXE - 20 UN</t>
  </si>
  <si>
    <t>CODO SAN 45 1.1/2 CXC - 50 UN</t>
  </si>
  <si>
    <t>CODO SAN 45 1.1/2 CXE - 50 UN</t>
  </si>
  <si>
    <t>CODO SAN 45 2 CXC - 100 UN</t>
  </si>
  <si>
    <t>CODO SAN 45 2 CXE - 50 UN</t>
  </si>
  <si>
    <t>CODO SAN 45 3 CXC - 50 UN</t>
  </si>
  <si>
    <t>CODO SAN 45 3 CXE - 25 UN</t>
  </si>
  <si>
    <t>CODO SAN 45 4 CXC - 20 UN</t>
  </si>
  <si>
    <t>CODO SAN 45 4 CXE - 20 UN</t>
  </si>
  <si>
    <t>CODO SAN 45 6 CXC</t>
  </si>
  <si>
    <t>CODO SAN 45 6 CXE</t>
  </si>
  <si>
    <t>CODO SAN 90 1.1/2 CXC - 100 UN</t>
  </si>
  <si>
    <t>CODO SAN 90 1.1/2 CXE - 50 UN</t>
  </si>
  <si>
    <t>CODO SAN 90 2 CXC - 50 UN</t>
  </si>
  <si>
    <t>CODO SAN 90 2 CXE - 50 UN</t>
  </si>
  <si>
    <t>CODO SAN 90 3 CXC - 20 UN</t>
  </si>
  <si>
    <t>CODO SAN 90 3 CXE - 20 UN</t>
  </si>
  <si>
    <t>CODO SAN 90 4 CXC - 10 UN</t>
  </si>
  <si>
    <t>CODO SAN 90 4 CXE - 10 UN</t>
  </si>
  <si>
    <t>CODO SAN 90 6 CXC</t>
  </si>
  <si>
    <t>CODO SAN 90 6 CXE</t>
  </si>
  <si>
    <t>COLL DERIV ACU 2X3/4 - 50 UN</t>
  </si>
  <si>
    <t>COLL DERIV ACU 2.1/2X3/4 - 50 UN</t>
  </si>
  <si>
    <t>COLL DERIV ACU 3X3/4 - 50 UN</t>
  </si>
  <si>
    <t>COLL DERIV ACU 4X3/4 - 25 UN</t>
  </si>
  <si>
    <t>COLL DERIV ACU 6X3/4 - 20 UN</t>
  </si>
  <si>
    <t>COLL DERIV ACU 8X1 - 10 UN</t>
  </si>
  <si>
    <t>ENTRADA TANQUE 1/2 PLASTICO - 50 UN</t>
  </si>
  <si>
    <t>INS RIEGO 1X32MM - 50 UN</t>
  </si>
  <si>
    <t>INS RIEGO 1/2X20MM - 100 UN</t>
  </si>
  <si>
    <t>INS RIEGO 3/4X25MM - 50 UN</t>
  </si>
  <si>
    <t>JUNTA EXP - REP SAN 3 (1 CUERPO) - 20 UN</t>
  </si>
  <si>
    <t>JUNTA EXP - REP SAN 4 (1 CUERPO) - 10 UN</t>
  </si>
  <si>
    <t>KIT CONEX TANQUE ASBESTO - 50 UN</t>
  </si>
  <si>
    <t>KIT CONEX TANQUE PLASTICO - 50 UN</t>
  </si>
  <si>
    <t>KIT SILLA TEE ALC 160X110MM S8 NOVAFORT</t>
  </si>
  <si>
    <t>KIT SILLA TEE ALC 200X110MM S8 NOVAFORT</t>
  </si>
  <si>
    <t>KIT SILLA TEE ALC 200X160MM S8 NOVAFORT</t>
  </si>
  <si>
    <t>KIT SILLA TEE ALC 250X110MM S8 NOVAFORT</t>
  </si>
  <si>
    <t>KIT SILLA TEE ALC INY 250X160MM S8 NOVAF</t>
  </si>
  <si>
    <t>KIT SILLA YEE ALC 160X110MM S8 NOVAFORT</t>
  </si>
  <si>
    <t>KIT SILLA YEE ALC 200X110MM S8 NOVAFORT</t>
  </si>
  <si>
    <t>KIT SILLA YEE ALC 200X160MM S8 NOVAFORT</t>
  </si>
  <si>
    <t>KIT SILLA YEE ALC INY 250X110MM S8 NOVAF</t>
  </si>
  <si>
    <t>KIT SILLA YEE ALC INY 250X160MM S8 NOVAF</t>
  </si>
  <si>
    <t>SALIDA TANQUE 1 PLASTICO - 50 UN</t>
  </si>
  <si>
    <t>SIFON SAN 1.1/2 BCO - 25 UN (BLQ)</t>
  </si>
  <si>
    <t>SIFON SAN 135 3 - 20 UN</t>
  </si>
  <si>
    <t>SIFON SAN 135 4 - 5 UN</t>
  </si>
  <si>
    <t>SIFON SAN 180 LIMPIEZA 1.1/2 - 50 UN</t>
  </si>
  <si>
    <t>SIFON SAN 180 2 - 50 UN</t>
  </si>
  <si>
    <t>SIFON SAN 180 LIMPIEZA 2 - 50 UN</t>
  </si>
  <si>
    <t>SILLA TEE ALC 160X110MM NOVAFORT</t>
  </si>
  <si>
    <t>SILLA TEE ALC 200X110MM NOVAFORT</t>
  </si>
  <si>
    <t>SILLA TEE ALC 200X160MM NOVAFORT</t>
  </si>
  <si>
    <t>SILLA TEE ALC 250X110MM NOVAFORT</t>
  </si>
  <si>
    <t>SILLA TEE ALC INY 250X160MM NOVAFORT</t>
  </si>
  <si>
    <t>SILLA YEE ALC 160X110MM NOVAFORT</t>
  </si>
  <si>
    <t>SILLA YEE ALC 200X110MM NOVAFORT</t>
  </si>
  <si>
    <t>SILLA YEE ALC 200X160MM NOVAFORT</t>
  </si>
  <si>
    <t>SILLA YEE ALC INY 250X110MM NOVAFORT</t>
  </si>
  <si>
    <t>SILLA YEE ALC INY 250X160MM NOVAFORT</t>
  </si>
  <si>
    <t>SOPORTE BAJANTE 60MM - 100 UN</t>
  </si>
  <si>
    <t>SOPORTE CANAL AMAZONA - 100 UN</t>
  </si>
  <si>
    <t>SOPORTE CANAL RAINGO - 100 UN</t>
  </si>
  <si>
    <t>SUPLEM CAJA CONDUIT 107X107MM - 200 UN</t>
  </si>
  <si>
    <t>TAPA CANAL AMAZONA EXT DER - 50 UN</t>
  </si>
  <si>
    <t>TAPA CANAL AMAZONA EXT IZQ - 50 UN</t>
  </si>
  <si>
    <t>TAPA CANAL AMAZONA INT DER - 50 UN</t>
  </si>
  <si>
    <t>TAPA CANAL AMAZONA INT IZQ - 50 UN</t>
  </si>
  <si>
    <t>TAPA CANAL RAINGO EXT - 100 UN</t>
  </si>
  <si>
    <t>TAPA CANAL RAINGO INT - 100 UN</t>
  </si>
  <si>
    <t>TAPA CONDUIT DOBLE - 200 UN</t>
  </si>
  <si>
    <t>TAPON DRENAJE CORRUG 65MM - 50 UN</t>
  </si>
  <si>
    <t>TAPON DRENAJE CORRUG 100MM - 50 UN</t>
  </si>
  <si>
    <t>TAPON DRENAJE CORRUG 160MM - 50 UN</t>
  </si>
  <si>
    <t>TAPON DRENAJE CORRUG 200MM - 25 UN (BLQ)</t>
  </si>
  <si>
    <t>TAPON DUCTO DB/EB 3 - 50 UN</t>
  </si>
  <si>
    <t>TAPON DUCTO DB/EB 4 - 50 UN</t>
  </si>
  <si>
    <t>TAPON DUCTO DB/EB 6 - 10 UN</t>
  </si>
  <si>
    <t>TAPON DUCTO TDP 4 - 25 UN</t>
  </si>
  <si>
    <t>TAPON PRE 1 SCH40 ROSC - 200 UN</t>
  </si>
  <si>
    <t>TAPON PRE 1 SCH40 SOLD - 250 UN</t>
  </si>
  <si>
    <t>TAPON PRE 1.1/2 SCH40 ROSC - 100 UN</t>
  </si>
  <si>
    <t>TAPON PRE 1.1/2 SCH40 SOLD - 100 UN</t>
  </si>
  <si>
    <t>TAPON PRE 1.1/4 SCH40 ROSC - 200 UN</t>
  </si>
  <si>
    <t>TAPON PRE 1.1/4 SCH40 SOLD - 200 UN</t>
  </si>
  <si>
    <t>TAPON PRE 1/2 SCH40 ROSC - 500 UN</t>
  </si>
  <si>
    <t>TAPON PRE 1/2 SCH40 SOLD - 500 UN</t>
  </si>
  <si>
    <t>TAPON PRE 2 SCH40 ROSC - 50 UN</t>
  </si>
  <si>
    <t>TAPON PRE 2 SCH40 SOLD - 50 UN</t>
  </si>
  <si>
    <t>TAPON PRE 2.1/2 SCH40 ROSC - 25 UN</t>
  </si>
  <si>
    <t>TAPON PRE 2.1/2 SCH40 SOLD - 25 UN</t>
  </si>
  <si>
    <t>TAPON PRE 3 SCH40 ROSC - 50 UN</t>
  </si>
  <si>
    <t>TAPON PRE 3 SCH40 SOLD - 50 UN</t>
  </si>
  <si>
    <t>TAPON PRE 3/4 SCH40 ROSC - 300 UN</t>
  </si>
  <si>
    <t>TAPON PRE 3/4 SCH40 SOLD - 300 UN</t>
  </si>
  <si>
    <t>TAPON PRE 4 SCH40 ROSC - 20 UN</t>
  </si>
  <si>
    <t>TAPON PRE 4 SCH40 SOLD - 20 UN</t>
  </si>
  <si>
    <t>TAPON PRUEBA SAN 1.1/2 - 100 UN</t>
  </si>
  <si>
    <t>TAPON PRUEBA SAN 2 - 100 UN</t>
  </si>
  <si>
    <t>TAPON PRUEBA SAN 3 - 100 UN</t>
  </si>
  <si>
    <t>TAPON PRUEBA SAN 4 - 100 UN</t>
  </si>
  <si>
    <t>TEE ALC 160MM NOVAFORT</t>
  </si>
  <si>
    <t>TEE DOBLE RED RIEGO 2X1/2 - 20 UN</t>
  </si>
  <si>
    <t>TEE DOBLE RED RIEGO 2X3/4 - 20 UN</t>
  </si>
  <si>
    <t>TEE DOBLE RED SAN 2X1.1/2 - 20 UN</t>
  </si>
  <si>
    <t>TEE DOBLE RED SAN 3X2 - 20 UN</t>
  </si>
  <si>
    <t>TEE DOBLE RED SAN 4X2 - 10 UN</t>
  </si>
  <si>
    <t>TEE DOBLE RED SAN 4X3 - 10 UN</t>
  </si>
  <si>
    <t>TEE DOBLE SAN 1.1/2 - 25 UN</t>
  </si>
  <si>
    <t>TEE DOBLE SAN 2 - 25 UN</t>
  </si>
  <si>
    <t>TEE DOBLE SAN 3 - 10 UN</t>
  </si>
  <si>
    <t>TEE DOBLE SAN 4 - 5 UN</t>
  </si>
  <si>
    <t>TEE PRE 1 SCH40 - 100 UN</t>
  </si>
  <si>
    <t>TEE PRE 1.1/2 SCH40 - 50 UN</t>
  </si>
  <si>
    <t>TEE PRE 1.1/4 SCH40 - 100 UN</t>
  </si>
  <si>
    <t>TEE PRE 1/2 SCH40 - 500 UN</t>
  </si>
  <si>
    <t>TEE PRE 2 SCH40 - 25 UN</t>
  </si>
  <si>
    <t>TEE PRE 2.1/2 SCH40 - 25 UN</t>
  </si>
  <si>
    <t>TEE PRE 3 SCH40 - 20 UN</t>
  </si>
  <si>
    <t>TEE PRE 3/4 SCH40 - 200 UN</t>
  </si>
  <si>
    <t>TEE PRE 4 SCH40 - 10 UN</t>
  </si>
  <si>
    <t>TEE RED ALC 200X160MM NOVAFORT</t>
  </si>
  <si>
    <t>TEE RED PRE 1X1/2 SCH40 - 100 UN</t>
  </si>
  <si>
    <t>TEE RED PRE 1X3/4 - 100 UN</t>
  </si>
  <si>
    <t>TEE RED PRE 3/4X1/2 SCH40 - 200 UN</t>
  </si>
  <si>
    <t>TEE RED SAN 2X1.1/2 - 25 UN</t>
  </si>
  <si>
    <t>TEE RED SAN 3X2 - 25 UN</t>
  </si>
  <si>
    <t>TEE RED SAN 4X2 - 20 UN</t>
  </si>
  <si>
    <t>TEE RED SAN 4X3 - 10 UN</t>
  </si>
  <si>
    <t>TEE SAN 1.1/2 - 100 UN</t>
  </si>
  <si>
    <t>TEE SAN 2 - 50 UN</t>
  </si>
  <si>
    <t>TEE SAN 3 - 20 UN</t>
  </si>
  <si>
    <t>TEE SAN 4 - 10 UN</t>
  </si>
  <si>
    <t>UNION ALC 110MM(4) NOVAFORT</t>
  </si>
  <si>
    <t>UNION ALC 160MM(6) NOVAFORT</t>
  </si>
  <si>
    <t>UNION BAJANTE 60MM - 50 UN</t>
  </si>
  <si>
    <t>UNION CANAL RAINGO - 50 UN</t>
  </si>
  <si>
    <t>UNION CANAL AMAZONAS - 25 UN</t>
  </si>
  <si>
    <t>UNION CANAL RAINGO A BAJ 60MM - 20 UN</t>
  </si>
  <si>
    <t>UNION CANAL AMAZONA A BAJ 60MM - 10 UN</t>
  </si>
  <si>
    <t>UNION CANAL ESQ RAINGO - 20 UN</t>
  </si>
  <si>
    <t>UNION CANAL ESQ EXT AMAZONA - 10 UN</t>
  </si>
  <si>
    <t>UNION CANAL ESQ INT AMAZONA - 10 UN</t>
  </si>
  <si>
    <t>UNION CONDUIT 1 - 200 UN</t>
  </si>
  <si>
    <t>UNION CONDUIT 1/2 - 500 UN</t>
  </si>
  <si>
    <t>UNION CONDUIT 3/4 - 200 UN</t>
  </si>
  <si>
    <t>UNION DUCTO TDP 4 - 25 UN</t>
  </si>
  <si>
    <t>UNION DUCTO DB/EB 2 - 100 UN</t>
  </si>
  <si>
    <t>UNION DUCTO DB/EB 3 - 25 UN</t>
  </si>
  <si>
    <t>UNION DUCTO DB/EB 4 - 25 UN</t>
  </si>
  <si>
    <t>UNION DUCTO DB/EB 6 - 5 UN</t>
  </si>
  <si>
    <t>UNION PF 1/2 - 50 UN</t>
  </si>
  <si>
    <t>UNION PRE 1 SCH40 - 200 UN</t>
  </si>
  <si>
    <t>UNION PRE 1.1/2 SCH40 - 100 UN</t>
  </si>
  <si>
    <t>UNION PRE 1.1/4 SCH40 - 100 UN</t>
  </si>
  <si>
    <t>UNION PRE 1/2 SCH40 - 1.000 UN</t>
  </si>
  <si>
    <t>UNION PRE 2 SCH40 - 100 UN</t>
  </si>
  <si>
    <t>UNION PRE 2.1/2 SCH40 - 25 UN</t>
  </si>
  <si>
    <t>UNION PRE 3 SCH40 - 25 UN</t>
  </si>
  <si>
    <t>UNION PRE 3/4 SCH40 - 500 UN</t>
  </si>
  <si>
    <t>UNION PRE 4 SCH40 - 20 UN</t>
  </si>
  <si>
    <t>UNION PRE UNIV 1 SCH40 - 50 UN</t>
  </si>
  <si>
    <t>UNION PRE UNIV 1/2 SCH40 - 100 UN</t>
  </si>
  <si>
    <t>UNION PRE UNIV 3/4 SCH40 - 100 UN</t>
  </si>
  <si>
    <t>JUNTA EXP - REP SAN 4 (2 CUERPOS) - 10UN</t>
  </si>
  <si>
    <t>UNION SAN 1.1/2 - 100 UN</t>
  </si>
  <si>
    <t>UNION SAN 2 - 100 UN</t>
  </si>
  <si>
    <t>UNION SAN 3 - 50 UN</t>
  </si>
  <si>
    <t>UNION SAN 4 - 25 UN</t>
  </si>
  <si>
    <t>UNION SAN 6 - 5 UN</t>
  </si>
  <si>
    <t>YEE ALC 160MM NOVAFORT</t>
  </si>
  <si>
    <t>YEE RED SAN 6X4</t>
  </si>
  <si>
    <t>YEE DOBLE RED SAN 3X2 - 20 UN</t>
  </si>
  <si>
    <t>YEE DOBLE RED SAN 4X2 - 10 UN</t>
  </si>
  <si>
    <t>YEE DOBLE RED SAN 4X3 - 5 UN</t>
  </si>
  <si>
    <t>YEE DOBLE SAN 2 - 25 UN</t>
  </si>
  <si>
    <t>YEE DOBLE SAN 3 - 10 UN</t>
  </si>
  <si>
    <t>YEE DOBLE SAN 4 - 5 UN</t>
  </si>
  <si>
    <t>YEE RED SAN 3X2 - 25 UN</t>
  </si>
  <si>
    <t>YEE RED SAN 4X2 - 20 UN</t>
  </si>
  <si>
    <t>YEE RED SAN 4X3 - 10 UN</t>
  </si>
  <si>
    <t>YEE SAN 2 - 50 UN</t>
  </si>
  <si>
    <t>YEE SAN 3 - 20 UN</t>
  </si>
  <si>
    <t>YEE SAN 4 - 10 UN</t>
  </si>
  <si>
    <t>YEE SAN 6</t>
  </si>
  <si>
    <t>KIT SILLA YEE ALCINY 250X160MM PLS4 NOVA</t>
  </si>
  <si>
    <t>CELDA AQUACELL RD CON KIT</t>
  </si>
  <si>
    <t>CODO PRE 90 1/2 ROSC/SOLD - 90 UN</t>
  </si>
  <si>
    <t>NIPLE 1/2 ROSCADO PRESION - 200 UN</t>
  </si>
  <si>
    <t>TAPON PRE MACH 1/2 ROSC - 300 UN</t>
  </si>
  <si>
    <t>KIT SILLA YEE ALC 200X160 PLUS S4 NOVAF</t>
  </si>
  <si>
    <t>UNION PRE UNIV 2 SCH40 - 12 UN</t>
  </si>
  <si>
    <t>UNION PRE UNIV 1.1/4 SCH40 - 20 UN</t>
  </si>
  <si>
    <t>UNION PRE UNIV 1.1/2 SCH40 - 15 UN</t>
  </si>
  <si>
    <t>TEE PRE 1/2 ROSC/SOLD - 100 UN</t>
  </si>
  <si>
    <t>KIT AQUACELL 4 CLIPS-2 PINES</t>
  </si>
  <si>
    <t>ADAPT ROS MACH 1/2 EASY-12</t>
  </si>
  <si>
    <t>CODO PRE 90 1/2 EASY-12</t>
  </si>
  <si>
    <t>TAPON PRE 1/2 ROSC EASY-12</t>
  </si>
  <si>
    <t>TAPON PRE 1/2 SOLD EASY-12</t>
  </si>
  <si>
    <t>TEE PRE 1/2 EASY-12</t>
  </si>
  <si>
    <t>UNION PRE 1/2 EASY-12</t>
  </si>
  <si>
    <t>ADAPT SOCK ROSM1/2ULTRATEMPEASY-12 (BLQ)</t>
  </si>
  <si>
    <t>CODO PRE 90 1/2 ULTRATEMP EASY-12 (BLQ)</t>
  </si>
  <si>
    <t>CODO SAN 90 2 CXC EASY-6</t>
  </si>
  <si>
    <t>BASE CAJA INSP 315 160X110MM</t>
  </si>
  <si>
    <t>ADAPT ROS HEM 1/2 PREPIC - 130 UN</t>
  </si>
  <si>
    <t>ADAPT ROS MACH 1 PREPIC - 50 UN</t>
  </si>
  <si>
    <t>BUJE PRE 1.1/2X1 ROSC PREPIC - 12 UN</t>
  </si>
  <si>
    <t>BUJE PRE 1.1/2X1/2 ROSC PREPIC - 10 UN</t>
  </si>
  <si>
    <t>BUJE PRE 1.1/2X3/4 ROSC PREPIC - 10 UN</t>
  </si>
  <si>
    <t>BUJE PRE 1.1/4X1 ROSC PREPIC - 10 UN</t>
  </si>
  <si>
    <t>BUJE PRE 1.1/4X1/2 ROSC PREPIC - 15 UN</t>
  </si>
  <si>
    <t>BUJE PRE 1.1/4X3/4 ROSC PREPIC - 20 UN</t>
  </si>
  <si>
    <t>BUJE PRE 1X1/2 ROSC PREPIC - 20 UN</t>
  </si>
  <si>
    <t>BUJE PRE 1X3/4 ROSC PREPIC - 15 UN</t>
  </si>
  <si>
    <t>BUJE PRE 2X1.1/2 ROSC PREPIC - 10 UN</t>
  </si>
  <si>
    <t>BUJE PRE 3/4X1/2 ROSC PREPIC - 15 UN</t>
  </si>
  <si>
    <t>CODO PRE 90 1.1/2 PREPIC - 15 UN</t>
  </si>
  <si>
    <t>CODO PRE 90 2 PREPIC - 6 UN</t>
  </si>
  <si>
    <t>ACCPRC TRCA ADAPT TERM 1</t>
  </si>
  <si>
    <t>ACCPRC TRCA ADAPT TERM 1.1/2</t>
  </si>
  <si>
    <t>ACCPRC TRCA ADAPT TERM 1.1/4</t>
  </si>
  <si>
    <t>ACCPRC TRCA ADAPT TERM 1/2</t>
  </si>
  <si>
    <t>ACCPRC TRCA ADAPT TERM 2</t>
  </si>
  <si>
    <t>ACCPRC TRCA ADAPT TERM 3/4</t>
  </si>
  <si>
    <t>TB ACU 10 UM RDE21 200PSI 6M</t>
  </si>
  <si>
    <t>TB ACU 10 UM RDE32.5 125PSI 6M (BLQ)</t>
  </si>
  <si>
    <t>TB ACU 10 UM RDE41 100PSI 6M</t>
  </si>
  <si>
    <t>TB ACU 10 UM RDE51 6M</t>
  </si>
  <si>
    <t>TB ACU 12 UM RDE21 200PSI 6M</t>
  </si>
  <si>
    <t>TB ACU 12 UM RDE26 160PSI 6M (BLQ)</t>
  </si>
  <si>
    <t>TB ACU 12 UM RDE41 100PSI 6M</t>
  </si>
  <si>
    <t>TB ACU 12 UM RDE51 6M</t>
  </si>
  <si>
    <t>TB ACU 14 UM RDE21 200PSI 6M</t>
  </si>
  <si>
    <t>TB ACU 14 UM RDE26 160PSI 6M (BLQ)</t>
  </si>
  <si>
    <t>TB ACU 14 UM RDE32.5 125PSI 6M (BLQ)</t>
  </si>
  <si>
    <t>TB ACU 14 UM RDE41 100PSI 6M</t>
  </si>
  <si>
    <t>TB ACU 16 UM RDE26 160PSI 6M (BLQ)</t>
  </si>
  <si>
    <t>TB ACU 16 UM RDE32.5 125PSI 6M (BLQ)</t>
  </si>
  <si>
    <t>TB ACU 16 UM RDE41 100PSI 6M</t>
  </si>
  <si>
    <t>TB ACU 18 UM RDE26 160PSI 6M (BLQ)</t>
  </si>
  <si>
    <t>TB ACU 18 UM RDE32.5 125PSI 6M (BLQ)</t>
  </si>
  <si>
    <t>TB ACU 18 UM RDE41 100PSI 6M (BLQ)</t>
  </si>
  <si>
    <t>TB ACU 20 UM RDE26 160PSI 6M (BLQ)</t>
  </si>
  <si>
    <t>TB ACU 20 UM RDE41 100PSI 6M</t>
  </si>
  <si>
    <t>TB LISO PRE 1/2 RDE13.5 6M - 24 UN</t>
  </si>
  <si>
    <t>TB LISO PRE 1.1/2 RDE21 6M</t>
  </si>
  <si>
    <t>TB RIEGO 1/2 RDE21 6M - 24 UN</t>
  </si>
  <si>
    <t>TB LISO PRE 2 RDE21 6M</t>
  </si>
  <si>
    <t>TB RIEGO 1 CAMP RDE26 6M - 24 UN</t>
  </si>
  <si>
    <t>TB RIEGO 3/4 RDE26 6M - 24 UN</t>
  </si>
  <si>
    <t>TB PRE 200MM PE100 6M PN10</t>
  </si>
  <si>
    <t>TB PRE 250MM PE100 6M PN10</t>
  </si>
  <si>
    <t>TB ACU 2 UM RDE13.5 6M</t>
  </si>
  <si>
    <t>TB ALC NOVAFORT S4PLUS400MM(16) 6M (BLQ)</t>
  </si>
  <si>
    <t>TB ALC NOVAFORT S4PLUS250MM(10) 6M (BLQ)</t>
  </si>
  <si>
    <t>TB ALC NOVAFORT S4PLUS315MM(12) 6M (BLQ)</t>
  </si>
  <si>
    <t>TB ACU 14 RDE13.5 EL 6.5M (BLQ)</t>
  </si>
  <si>
    <t>TB ACU 12 RDE13.5 EL 6M (BLQ)</t>
  </si>
  <si>
    <t>TB RIEGO 3/4 CAMP RDE26 6M - 24 UN</t>
  </si>
  <si>
    <t>TB ACU 20 UM RDE32.5 125PSI 6M (BLQ)</t>
  </si>
  <si>
    <t>TB ALC NOVAFORT S8 PLUS 355MM(14) 6M</t>
  </si>
  <si>
    <t>TB ALC NOVAFORT S4 PLUS 355MM(14) 6M</t>
  </si>
  <si>
    <t>TB PRE 315MM PE100 6M PN10</t>
  </si>
  <si>
    <t>TB RIEGO 1.1/4 RDE26 6M - 24 UN</t>
  </si>
  <si>
    <t>TB RIEGO C/COMP 10 9.17M</t>
  </si>
  <si>
    <t>TB RIEGO C/COMP 8 9.17M</t>
  </si>
  <si>
    <t>TB SAN 2 6M</t>
  </si>
  <si>
    <t>TB SAN 3 6M</t>
  </si>
  <si>
    <t>UNION REP RIEGO 10 COPXCAM</t>
  </si>
  <si>
    <t>UNION REP RIEGO 10 COPXCOP</t>
  </si>
  <si>
    <t>UNION REP RIEGO 8 COPXCAM</t>
  </si>
  <si>
    <t>UNION REP RIEGO 8 COPXCOP</t>
  </si>
  <si>
    <t>TB RIEGO C/COMP 10 8.92M</t>
  </si>
  <si>
    <t>TB RIEGO C/COMP 10 10.08M</t>
  </si>
  <si>
    <t>ELEVADOR CAJA 315X500MM</t>
  </si>
  <si>
    <t>ELEVADOR CAJA 315X1000MM</t>
  </si>
  <si>
    <t>ELEVADOR CAJA 400X500MM</t>
  </si>
  <si>
    <t>ELEVADOR CAJA 400X1000MM</t>
  </si>
  <si>
    <t>TB RIEGO C/COMP 8 10.08M</t>
  </si>
  <si>
    <t>TB LISO PRE 1/2 RDE13.5 1M - 48UN</t>
  </si>
  <si>
    <t>TB LISO PRE 3/4 RDE11 1M - 24UN</t>
  </si>
  <si>
    <t>TB LISO PRE 3/4 RDE21 1M - 24UN</t>
  </si>
  <si>
    <t>TB LISO PRE 1 RDE13.5 1M - 24UN</t>
  </si>
  <si>
    <t>TB LISO PRE 1 RDE21 1M - 24UN</t>
  </si>
  <si>
    <t>TB LISO PRE 1.1/4 RDE21 1M - 24UN</t>
  </si>
  <si>
    <t>TB LISO PRE 1.1/2 RDE21 1M - 20UN</t>
  </si>
  <si>
    <t>TB LISO PRE 2 RDE21 1M  - 10UN</t>
  </si>
  <si>
    <t>TB SAN 1.1/2 1M - 20UN</t>
  </si>
  <si>
    <t>TB VENT 1.1/2 1M - 20UN</t>
  </si>
  <si>
    <t>TB VENT 2 1M - 10UN</t>
  </si>
  <si>
    <t>TB VENT 3 1M - 7UN</t>
  </si>
  <si>
    <t>TB VENT 4 1M - 7UN</t>
  </si>
  <si>
    <t>TB RIEGO SIN COMPUERTA 10 9.17M</t>
  </si>
  <si>
    <t>ADAPT ALC INY 160MM NOVAFORT A SAN 6</t>
  </si>
  <si>
    <t>ADAPT ALC 200MM NOVAFORT A SAN 6</t>
  </si>
  <si>
    <t>BASE CAMARA INSP 1000X200MM 90</t>
  </si>
  <si>
    <t>BASE CAMARA INSP 1000X200MM RECTA</t>
  </si>
  <si>
    <t>BASE CAMARA INSP 600X200 60</t>
  </si>
  <si>
    <t>BASE CAMARA INSP 600X200 30</t>
  </si>
  <si>
    <t>BASE CAMARA INSP 600X250MM RECTA</t>
  </si>
  <si>
    <t>BASE CAMARA INSP 600X250MM TEE</t>
  </si>
  <si>
    <t>CODO ACU 45 6 UM RDE21 (BLQ)</t>
  </si>
  <si>
    <t>CODO ACU 6 10 UM RDE21 (BLQ)</t>
  </si>
  <si>
    <t>CODO ACU 90 4 UM RDE21 (BLQ)</t>
  </si>
  <si>
    <t>CODO ACU 90 6 UM RDE21 (BLQ)</t>
  </si>
  <si>
    <t>CODO ALC 45 INY 200MM NOVAFORT</t>
  </si>
  <si>
    <t>CODO ALC 45 250MM NOVAFORT</t>
  </si>
  <si>
    <t>CODO ALC 90 INY 200MM NOVAFORT</t>
  </si>
  <si>
    <t>CODO ALC 90 250MM NOVAFORT</t>
  </si>
  <si>
    <t>CODO ALC 90 315MM NOVAFORT</t>
  </si>
  <si>
    <t>CODO ALC 90 400MM NOVAFORT</t>
  </si>
  <si>
    <t>CURVA CONDUIT 90 1 - 50 UN</t>
  </si>
  <si>
    <t>CURVA CONDUIT 90 1.1/2 - 25 UN</t>
  </si>
  <si>
    <t>CURVA CONDUIT 90 1.1/4 - 50 UN</t>
  </si>
  <si>
    <t>CURVA CONDUIT 90 1/2 - 200 UN</t>
  </si>
  <si>
    <t>CURVA CONDUIT 90 2 - 15 UN</t>
  </si>
  <si>
    <t>CURVA CONDUIT 90 3/4 - 100 UN</t>
  </si>
  <si>
    <t>CURVA DUCTO DB/EB 90 2</t>
  </si>
  <si>
    <t>CURVA DUCTO DB/EB 90 3</t>
  </si>
  <si>
    <t>CURVA DUCTO DB/EB 90 4</t>
  </si>
  <si>
    <t>CURVA DUCTO TDP 45 4</t>
  </si>
  <si>
    <t>CURVA DUCTO TDP 90 4</t>
  </si>
  <si>
    <t>CODO ALC 90 500MM NOVAFORT</t>
  </si>
  <si>
    <t>JUNTA EXPANSION SAN 6</t>
  </si>
  <si>
    <t>KIT SILLA TEE ALC 315X110MM S8 NOVAFORT</t>
  </si>
  <si>
    <t>KIT SILLA TEE ALC INY 315X160MM S8 NOVAF</t>
  </si>
  <si>
    <t>KIT SILLA YEE ALC 315X110MM S8 NOVAFORT</t>
  </si>
  <si>
    <t>LIMPIADOR P/UNION 1/128GAL - 60 UN</t>
  </si>
  <si>
    <t>LIMPIADOR P/UNION 1/32GAL - 30 UN</t>
  </si>
  <si>
    <t>LIMPIADOR P/UNION 1/4GAL - 12 UN</t>
  </si>
  <si>
    <t>LIMPIADOR P/UNION 1/64GAL - 30 UN</t>
  </si>
  <si>
    <t>LIMPIADOR P/UNION 12OZ - 24 UN</t>
  </si>
  <si>
    <t>LUBRICANTE P/UNION CANAL UM - 60 UN</t>
  </si>
  <si>
    <t>LUBRICANTE P/UNION 4KG ALC - 1 UN</t>
  </si>
  <si>
    <t>LUBRICANTE P/UNION 500GR UM - 12 UN</t>
  </si>
  <si>
    <t>RED ACU 3X2 UM</t>
  </si>
  <si>
    <t>RED ACU 3X2.1/2 UM</t>
  </si>
  <si>
    <t>RED ACU 4X2 UM</t>
  </si>
  <si>
    <t>RED ACU 4X3 UM (BLQ)</t>
  </si>
  <si>
    <t>RED DRENAJE CONCEN CORRUG 100X65MM</t>
  </si>
  <si>
    <t>RED DRENAJE CONCEN CORRUG 160X100MM</t>
  </si>
  <si>
    <t>RED DRENAJE EXC 200X160MM (BLQ)</t>
  </si>
  <si>
    <t>SALIDA DRE CORRUG 65MM</t>
  </si>
  <si>
    <t>SALIDA DRE CORRUG 100MM</t>
  </si>
  <si>
    <t>SALIDA DRE CORRUG 160MM (BLQ)</t>
  </si>
  <si>
    <t>SALIDA DRE CORRUG 200MM (BLQ)</t>
  </si>
  <si>
    <t>SILLA DRE CORRUG 65X100MM</t>
  </si>
  <si>
    <t>SILLA DRE CORRUG 65X160MM</t>
  </si>
  <si>
    <t>SILLA DRE CORRUG 100X160MM</t>
  </si>
  <si>
    <t>SILLA TEE ALC 315X110MM NOVAFORT</t>
  </si>
  <si>
    <t>SILLA TEE ALC INY 315X160MM NOVAFORT</t>
  </si>
  <si>
    <t>SILLA TEE ALC 400X110MM NOVAFORT (BLQ)</t>
  </si>
  <si>
    <t>SILLA TEE ALC 400X160MM NOVAFORT</t>
  </si>
  <si>
    <t>SILLA TEE ALC 450X160MM NOVAFORT</t>
  </si>
  <si>
    <t>SILLA TEE ALC 500X160MM NOVAFORT</t>
  </si>
  <si>
    <t>SILLA YEE ALC 400X250MM NOVAFORT</t>
  </si>
  <si>
    <t>SILLA YEE ALC 315X110MM NOVAFORT</t>
  </si>
  <si>
    <t>SILLA YEE ALC 400X110MM NOVAFORT</t>
  </si>
  <si>
    <t>SILLA YEE ALC 400X200MM NOVAFORT</t>
  </si>
  <si>
    <t>SILLA YEE ALC INY 450X160MM NOVAFORT</t>
  </si>
  <si>
    <t>SILLA YEE ALC INY 500X160MM NOVAFORT</t>
  </si>
  <si>
    <t>SOLDADURA PVC 1/64GAL - 30 UN (BLQ)</t>
  </si>
  <si>
    <t>TEE ACU 2X2X2 UM (BLQ)</t>
  </si>
  <si>
    <t>TEE ACU 4X4X4 UM (BLQ)</t>
  </si>
  <si>
    <t>TEE ALC 250MM NOVAFORT</t>
  </si>
  <si>
    <t>TEE ALC 315MM NOVAFORT</t>
  </si>
  <si>
    <t>TEE ALC 400MM NOVAFORT</t>
  </si>
  <si>
    <t>TEE ALC 450MM NOVAFORT</t>
  </si>
  <si>
    <t>BASE CAJA INSP 400 200X160MM</t>
  </si>
  <si>
    <t>TEE ALC 200MM NOVAFORT</t>
  </si>
  <si>
    <t>TEE RED ALC 250X160MM NOVAFORT</t>
  </si>
  <si>
    <t>TEE RED ACU 2.1/2X2.1/2X2 UM</t>
  </si>
  <si>
    <t>TEE RED ACU 2.1/2X2X2.1/2 UM</t>
  </si>
  <si>
    <t>TEE RED ACU 3X3X2 UM</t>
  </si>
  <si>
    <t>TEE RED ACU 3X2X2 UM (BLQ)</t>
  </si>
  <si>
    <t>TEE RED ACU 3X2X3 UM</t>
  </si>
  <si>
    <t>TEE RED ACU 3X3X2.1/2 UM</t>
  </si>
  <si>
    <t>TEE RED ACU 3X2.1/2X3 UM</t>
  </si>
  <si>
    <t>TEE RED ACU 4X4X2 UM</t>
  </si>
  <si>
    <t>TEE RED ACU 4X2X4 UM</t>
  </si>
  <si>
    <t>TEE RED ACU 4X2X3 UM (BLQ)</t>
  </si>
  <si>
    <t>TEE RED ACU 4X4X2.1/2 UM</t>
  </si>
  <si>
    <t>TEE RED ACU 4X2.1/2X4 UM</t>
  </si>
  <si>
    <t>TEE RED ACU 4X3X3 UM</t>
  </si>
  <si>
    <t>TEE RED ACU 4X4X3 UM</t>
  </si>
  <si>
    <t>TEE RED ACU 4X3X4 UM</t>
  </si>
  <si>
    <t>TEE RED ACU 4X3X2 UM</t>
  </si>
  <si>
    <t>UNION ACU 10 UM</t>
  </si>
  <si>
    <t>UNION ACU 12 UM</t>
  </si>
  <si>
    <t>UNION ACU 2 UM</t>
  </si>
  <si>
    <t>UNION ACU 2.1/2 UM</t>
  </si>
  <si>
    <t>UNION ACU 3 UM</t>
  </si>
  <si>
    <t>UNION ACU 4 UM</t>
  </si>
  <si>
    <t>UNION ACU 6 UM</t>
  </si>
  <si>
    <t>UNION ACU 8 UM</t>
  </si>
  <si>
    <t>UNION ALC 250MM(10) NOVAFORT</t>
  </si>
  <si>
    <t>UNION ALC 315MM(12) NOVAFORT</t>
  </si>
  <si>
    <t>UNION ALC 400MM(16) NOVAFORT</t>
  </si>
  <si>
    <t>UNION ALC 45 NOVALOC</t>
  </si>
  <si>
    <t>UNION ALC 450MM(18) NOVAFORT</t>
  </si>
  <si>
    <t>UNION ALC 48 NOVALOC</t>
  </si>
  <si>
    <t>UNION ALC 500MM(20) NOVAFORT</t>
  </si>
  <si>
    <t>UNION ALC 51 NOVALOC</t>
  </si>
  <si>
    <t>UNION ALC 54 NOVALOC</t>
  </si>
  <si>
    <t>UNION DRE CORRUG 65MM - 10 UN</t>
  </si>
  <si>
    <t>UNION DRE CORRUG 100MM - 25 UN</t>
  </si>
  <si>
    <t>UNION DRE CORRUG 160MM</t>
  </si>
  <si>
    <t>UNION DRE CORRUG 200MM</t>
  </si>
  <si>
    <t>YEE RED ALC 250X160MM NOVAFORT</t>
  </si>
  <si>
    <t>YEE RED ALC 315X160MM NOVAFORT</t>
  </si>
  <si>
    <t>YEE RED ALC 400X160MM CAMP NOVAFOR (BLQ)</t>
  </si>
  <si>
    <t>ADAPT ALC INY 110MM NOVAFORT A SAN 4-7UN</t>
  </si>
  <si>
    <t>UNION ALC 57 NOVALOC</t>
  </si>
  <si>
    <t>SILLA YEE ALC 24X200MM NOVAFORT</t>
  </si>
  <si>
    <t>SILLA YEE ALC 315X200MM NOVAFORT</t>
  </si>
  <si>
    <t>SILLA YEE ALC 355X200MM NOVAFORT</t>
  </si>
  <si>
    <t>SILLA YEE ALC 450X200MM NOVAFORT</t>
  </si>
  <si>
    <t>SILLA TEE ALC 355X160MM NOVAFORT</t>
  </si>
  <si>
    <t>SILLA YEE ALC INY 355X160MM NOVAFORT</t>
  </si>
  <si>
    <t>SILLA YEE ALC 355X110MM NOVAFORT</t>
  </si>
  <si>
    <t>SILLA TEE ALC 355X110MM NOVAFORT</t>
  </si>
  <si>
    <t>SILLA TEE ALC 24X160MM NOVAFORT</t>
  </si>
  <si>
    <t>SILLA TEE ALC 24X200MM NOVAFORT</t>
  </si>
  <si>
    <t>SILLA YEE ALC 27X200MM NOVAFORT</t>
  </si>
  <si>
    <t>SILLA YEE ALC 500X200MM NOVAFORT</t>
  </si>
  <si>
    <t>SILLA DRE CORRUG 100X200MM</t>
  </si>
  <si>
    <t>RED EXC NOVAFORT 200X160MM</t>
  </si>
  <si>
    <t>BASE CAMARA INSP 600X315MM RECTA</t>
  </si>
  <si>
    <t>BASE CAMARA INSP 600X250 90</t>
  </si>
  <si>
    <t>BASE CAMARA INSP 600X315 90</t>
  </si>
  <si>
    <t>BASE CAMARA INSP 600X250 30</t>
  </si>
  <si>
    <t>BASE CAMARA INSP 600X315MM 30</t>
  </si>
  <si>
    <t>BASE CAMARA INSP 600X250MM 60</t>
  </si>
  <si>
    <t>BASE CAMARA INSP 600X315 60</t>
  </si>
  <si>
    <t>BASE CAMARA INSP 600X250MM DOBLE TEE</t>
  </si>
  <si>
    <t>BASE CAMARA INSP 1000X250 RECTA</t>
  </si>
  <si>
    <t>BASE CAMARA INSP 1000X315 RECTA</t>
  </si>
  <si>
    <t>BASE CAMARA INSP 1000X250 90</t>
  </si>
  <si>
    <t>BASE CAMARA INSP 1000X315 90</t>
  </si>
  <si>
    <t>BASE CAMARA INSP 1000X200 30</t>
  </si>
  <si>
    <t>BASE CAMARA INSP 1000X250 30</t>
  </si>
  <si>
    <t>BASE CAMARA INSP 1000X315 30</t>
  </si>
  <si>
    <t>BASE CAMARA INSP 1000X200 45</t>
  </si>
  <si>
    <t>BASE CAMARA INSP 1000X250 45</t>
  </si>
  <si>
    <t>BASE CAMARA INSP 1000X315 45</t>
  </si>
  <si>
    <t>BASE CAMARA INSP 1000X200 TEE</t>
  </si>
  <si>
    <t>BASE CAMARA INSP 1000X250 TEE</t>
  </si>
  <si>
    <t>BASE CAMARA INSP 1000X315 TEE</t>
  </si>
  <si>
    <t>BASE CAMARA INSP 1000X200 DOBLE TEE</t>
  </si>
  <si>
    <t>BASE CAMARA INSP 1000X315 DOBLE TEE</t>
  </si>
  <si>
    <t>ELEVADOR NOVAFORT CAMARA 600X500MM</t>
  </si>
  <si>
    <t>ELEVADOR NOVAFORT CAMARA 600X1750MM</t>
  </si>
  <si>
    <t>ELEVADOR NOVAFORT CAMARA 600X2000MM</t>
  </si>
  <si>
    <t>ELEVADOR NOVAFORT CAMARA 600X2250MM</t>
  </si>
  <si>
    <t>ELEVADOR NOVAFORT CAMARA 600X3000MM</t>
  </si>
  <si>
    <t>ELEVADOR NOVAFORT CAMARA 600X4000MM</t>
  </si>
  <si>
    <t>ELEVADOR NOVAFORT CAMARA 1000X400MM</t>
  </si>
  <si>
    <t>ELEVADOR NOVAFORT CAMARA 1000X500MM</t>
  </si>
  <si>
    <t>ELEVADOR NOVAFORT CAMARA 1000X750MM</t>
  </si>
  <si>
    <t>ELEVADOR NOVAFORT CAMARA 1000X1000MM</t>
  </si>
  <si>
    <t>ELEVADOR NOVAFORT CAMARA 1000X1250MM</t>
  </si>
  <si>
    <t>ELEVADOR NOVAFORT CAMARA 1000X1500MM</t>
  </si>
  <si>
    <t>ELEVADOR NOVAFORT CAMARA 1000X1750MM</t>
  </si>
  <si>
    <t>ELEVADOR NOVAFORT CAMARA 1000X2000MM</t>
  </si>
  <si>
    <t>ELEVADOR NOVAFORT CAMARA 1000X2250MM</t>
  </si>
  <si>
    <t>ELEVADOR NOVAFORT CAMARA 1000X2500MM</t>
  </si>
  <si>
    <t>ELEVADOR NOVAFORT CAMARA 1000X2750MM</t>
  </si>
  <si>
    <t>ELEVADOR NOVAFORT CAMARA 1000X3000MM</t>
  </si>
  <si>
    <t>ELEVADOR NOVAFORT CAMARA 1000X3500MM</t>
  </si>
  <si>
    <t>CONO CAMARA INSP 1000 EXCENTRICO</t>
  </si>
  <si>
    <t>CONO CAMARA INSP 1000 CONCENTRICO</t>
  </si>
  <si>
    <t>CODO ALC 90 355MM(14) NOVAFORT</t>
  </si>
  <si>
    <t>TEE ALC 355MM(14) NOVAFORT</t>
  </si>
  <si>
    <t>REDUCCION CAMARA EXC 315X250</t>
  </si>
  <si>
    <t>KIT CONECTOR CAMARA 250 IN SITU (BLQ)</t>
  </si>
  <si>
    <t>KIT CONECTOR CAMARA 315 IN SITU (BLQ)</t>
  </si>
  <si>
    <t>CONECTOR NOVAFORT-CONCRETO 160MMX6</t>
  </si>
  <si>
    <t>CODO ALC 45 315MM NOVAFORT</t>
  </si>
  <si>
    <t>KIT CONECTOR CAMARA 200 IN SITU (BLQ)</t>
  </si>
  <si>
    <t>BASE CAMARA I 1000X200MM INICIAL</t>
  </si>
  <si>
    <t>BASE CAMARA I 1000X315MM INICIAL</t>
  </si>
  <si>
    <t>BASE CAMARA INSP 600X200MM INICIAL</t>
  </si>
  <si>
    <t>BASE CAMARA INSP 600X250MM INICIAL</t>
  </si>
  <si>
    <t>BASE CAMARA INSP 600X315MM INICIAL</t>
  </si>
  <si>
    <t>SILLA TEE NOVAFORT 160 MM</t>
  </si>
  <si>
    <t>RED CONC NOVAFORT 160MMX4</t>
  </si>
  <si>
    <t>RED CONC NOVAFORT 160MMX110MM</t>
  </si>
  <si>
    <t>RED EXC NOVAFORT 160X110MM</t>
  </si>
  <si>
    <t>SILLA TEE ALC 250X200MM NOVAFORT</t>
  </si>
  <si>
    <t>SILLA TEE ALC 315X200MM NOVAFORT</t>
  </si>
  <si>
    <t>SILLA TEE ALC 315X250MM NOVAFORT</t>
  </si>
  <si>
    <t>SILLA TEE ALC 400X250MM NOVAFORT</t>
  </si>
  <si>
    <t>BASE CAMARA INSP 1000 TIPO TANQUE</t>
  </si>
  <si>
    <t>SILLA YEE ALC 27X160MM NOVAFORT</t>
  </si>
  <si>
    <t>TEE RED ALC 250X200 NOVAFORT</t>
  </si>
  <si>
    <t>TEE RED DOBLE ALC 315X160 NOVAFORT (BLQ)</t>
  </si>
  <si>
    <t>TEE RED ALC 315X200 NOVAFORT</t>
  </si>
  <si>
    <t>SILLA TEE ALC 355X200MM NOVAFORT</t>
  </si>
  <si>
    <t>SILLA YEE ALC INY 24X160MM NOVAFORT</t>
  </si>
  <si>
    <t>SILLA YEE ALC 250X200MM NOVAFORT</t>
  </si>
  <si>
    <t>UNION ALC 60 NOVALOC PS10</t>
  </si>
  <si>
    <t>TANQUE BOTELLA 600LT AZUL</t>
  </si>
  <si>
    <t>ACOPLE H RIEGO 114MM CAMP PVC (BLQ)</t>
  </si>
  <si>
    <t>ACOPLE LAVAM/LAVAP 1/2 C/TCA PDA-50 UN</t>
  </si>
  <si>
    <t>ACOPLE LAVAM/LAVAP 1/2X1/2 DOBLE - 20 UN</t>
  </si>
  <si>
    <t>ACOPLE LAVAM/LAVAP 1/2X1/2 C/VALV-30 UN</t>
  </si>
  <si>
    <t>ACOPLE SAN 1/2X7/8 TCA PDA VALV REG-30UN</t>
  </si>
  <si>
    <t>ACOPLE SAN TUERCA PESADA 1/2X7/8-50 UN</t>
  </si>
  <si>
    <t>ADAPT ROS MACH PF 3/4 - 50 UN</t>
  </si>
  <si>
    <t>ADAPT ROS H PE 20MMX1/2 NPT PN11</t>
  </si>
  <si>
    <t>ADAPT ROS M PE 16MMX1/2 NPT PN11</t>
  </si>
  <si>
    <t>ADAPT ROS M PE 20MMX1/2 NPT PN11</t>
  </si>
  <si>
    <t>ADAPT ROS M PE 25MMX3/4 NPT PN11</t>
  </si>
  <si>
    <t>ADAPT ROS M PE 32MMX1 NPT PN11</t>
  </si>
  <si>
    <t>ADAPT ROS M PE 63MMX2 NPT PN6</t>
  </si>
  <si>
    <t>ADAPT ROS M PE 90MMX3 NPT PN6</t>
  </si>
  <si>
    <t>CANASTILLA FILTRO ACERO 4 ITAL - 50 UN</t>
  </si>
  <si>
    <t>CANASTILLA PLASTICA 4 - 50 UN</t>
  </si>
  <si>
    <t>CANASTILLA PLAS FILTRO POLIPROP 4 - 50UN</t>
  </si>
  <si>
    <t>CAUCHO CONDUIT P/DBL 1 1.80M</t>
  </si>
  <si>
    <t>CAUCHO CONDUIT P/DBL 1/2 1.80M</t>
  </si>
  <si>
    <t>CAUCHO CONDUIT P/DBL 3/4 1.80M</t>
  </si>
  <si>
    <t>VALV SAN ANTIRETORNO 4 PVC</t>
  </si>
  <si>
    <t>CODO PE PRE 20MM RAPIDO PN11 (BLQ)</t>
  </si>
  <si>
    <t>CODO PE PRE 45 110MM TF PN16</t>
  </si>
  <si>
    <t>CODO PE PRE 45 160MM TF PN10</t>
  </si>
  <si>
    <t>CODO PE PRE 45 160MM TF PN16</t>
  </si>
  <si>
    <t>CODO PE PRE 45 200MM TF PN10 (BLQ)</t>
  </si>
  <si>
    <t>CODO PE PRE 45 200MM TF PN16</t>
  </si>
  <si>
    <t>CODO PE 45 250MM TF PN10 (BLQ)</t>
  </si>
  <si>
    <t>CODO PE PRE 45 250MM TF PN16 (BLQ)</t>
  </si>
  <si>
    <t>CODO PE PRE 45 63MM TF PN16</t>
  </si>
  <si>
    <t>CODO PE PRE 90 110MM TF PN16</t>
  </si>
  <si>
    <t>CODO PE PRE 90 160MM TF PN16</t>
  </si>
  <si>
    <t>CODO PE PRE 90 200MM TF PN10 (BLQ)</t>
  </si>
  <si>
    <t>CODO PE PRE 90 200MM TF PN16 (BLQ)</t>
  </si>
  <si>
    <t>CODO PE PRE 90 250MM TF PN10 (BLQ)</t>
  </si>
  <si>
    <t>CODO PE PRE 90 250MM TF PN16 (BLQ)</t>
  </si>
  <si>
    <t>CODO PE PRE 90 63MM TF PN16</t>
  </si>
  <si>
    <t>CODO PE PRE 90 90MM TF PN16</t>
  </si>
  <si>
    <t>COLL DERIV PE 110MMX1 PN10 TORN METAL</t>
  </si>
  <si>
    <t>COLL DERIV PE 110MMX1/2 PN10 TORN METAL</t>
  </si>
  <si>
    <t>COLL DERIV PE 110MMX3/4 PN10 TORN METAL</t>
  </si>
  <si>
    <t>COLL DERIV PE 160MMX1 PN10 TORN METAL</t>
  </si>
  <si>
    <t>COLL DERIV PE 160MMX1/2 PN10 TORN METAL</t>
  </si>
  <si>
    <t>COLL DERIV PE PRE160MMX1/2X1/2PN10 (BLQ)</t>
  </si>
  <si>
    <t>COLL DERIV PE 160MMX3/4 PN10 TORN METAL</t>
  </si>
  <si>
    <t>COLL DERIV PE 63MMX1 PN10 TORN METAL</t>
  </si>
  <si>
    <t>COLL DERIV PE 63MMX1/2 PN10 TORN METAL</t>
  </si>
  <si>
    <t>COLL DERIV PE 90MMX1 PN10 TORN METAL</t>
  </si>
  <si>
    <t>COLL DERIV PE 90MMX1/2 PN10 TORN METAL</t>
  </si>
  <si>
    <t>DESAGUE SENCILLO - 80 UN</t>
  </si>
  <si>
    <t>FLANCHE MET 110MM UNIV</t>
  </si>
  <si>
    <t>FLANCHE MET 160MM UNIV</t>
  </si>
  <si>
    <t>FLANCHE MET 200MM UNIV</t>
  </si>
  <si>
    <t>FLANCHE MET 250MM UNIV</t>
  </si>
  <si>
    <t>FLANCHE MET 63MM UNIV</t>
  </si>
  <si>
    <t>FLANCHE MET 90MM UNIV</t>
  </si>
  <si>
    <t>PORTA FLANCHE PE PRE 160MM PN16 TERMF</t>
  </si>
  <si>
    <t>PORTA FLANCHE PE PRE 200MM PN10 TERMF</t>
  </si>
  <si>
    <t>PORTA FLANCHE PE PRE 200MM PN16 TERMF</t>
  </si>
  <si>
    <t>PORTA FLANCHE PE PRE 250MM PN16 TERMF</t>
  </si>
  <si>
    <t>PORTA FLANCHE PE PRE 250MM PN10 TERMF</t>
  </si>
  <si>
    <t>PORTA FLANCHE PE PRE 63MM PN16 TERMF</t>
  </si>
  <si>
    <t>PORTA FLANCHE PE PRE 90MM PN16 TERMF</t>
  </si>
  <si>
    <t>RED PE PRE 110X63MM PN10 TERMF</t>
  </si>
  <si>
    <t>RED PE PRE 110X63MM PN16 TERMF</t>
  </si>
  <si>
    <t>RED PE PRE 110X90MM PN16 TERMF</t>
  </si>
  <si>
    <t>RED PE PRE 160X110MM PN16 TERMF</t>
  </si>
  <si>
    <t>RED PE PRE 160X90MM PN16 TERMF</t>
  </si>
  <si>
    <t>RED PE PRE 200X160MM PN10 TERMF</t>
  </si>
  <si>
    <t>RED PE PRE 200X160MM PN16 TERMF</t>
  </si>
  <si>
    <t>RED PE PRE 250X200MM PN10 TERMF</t>
  </si>
  <si>
    <t>RED PE PRE 250X200MM PN16 TERMF</t>
  </si>
  <si>
    <t>SERRUCHO CTE PVC MAN</t>
  </si>
  <si>
    <t>SIFON BOTELLA - 35 UN</t>
  </si>
  <si>
    <t>SIFON EN P CON ADAPTADOR - 30 UN</t>
  </si>
  <si>
    <t>SILLETA PE PRE 110X20MM PN10 TERMF</t>
  </si>
  <si>
    <t>SILLETA PE PRE 160X20MM PN10 TERMF</t>
  </si>
  <si>
    <t>SILLETA PE PRE 200X20MM PN10 TERMF</t>
  </si>
  <si>
    <t>SILLETA PE PRE 90X20MM PN10 TERMF</t>
  </si>
  <si>
    <t>SOPORTE CANAL AMAZONA METALICO - 50 UN</t>
  </si>
  <si>
    <t>SOPORTE CANAL RAINGO METALICO - 50 UN</t>
  </si>
  <si>
    <t>TAPON CIEGO HERMETICO 29-36MM</t>
  </si>
  <si>
    <t>TAPON PE PRE 110MM PN16 TERMF</t>
  </si>
  <si>
    <t>TAPON PE PRE 160MM PN10 TERMF</t>
  </si>
  <si>
    <t>TAPON PE PRE 160MM PN16 TERMF</t>
  </si>
  <si>
    <t>TAPON PE PRE 200MM PN10 TERMF</t>
  </si>
  <si>
    <t>TAPON PE PRE 200MM PN16 TERMF</t>
  </si>
  <si>
    <t>TAPON PE PRE 250MM PN10 TERMF</t>
  </si>
  <si>
    <t>TAPON PE PRE 250MM PN16 TERMF</t>
  </si>
  <si>
    <t>TAPON PE PRE 63MM PN16 TERMF</t>
  </si>
  <si>
    <t>TAPON PE PRE 315MM PN10 TERMF</t>
  </si>
  <si>
    <t>VALV ESF 1.1/4 SOLD H2OFF - 50 UN</t>
  </si>
  <si>
    <t>VALV ESF 1.1/2 ROSC H2OFF - 40 UN</t>
  </si>
  <si>
    <t>VALV ESF 1 1/4 ROSC H2OFF - 50 UN</t>
  </si>
  <si>
    <t>VALV ESF 1.1/2 SOLD H2OFF - 40 UN</t>
  </si>
  <si>
    <t>TEE PE PRE 110MM TF PN16</t>
  </si>
  <si>
    <t>TEE PE PRE 200MM TF PN10 (BLQ)</t>
  </si>
  <si>
    <t>TEE PE PRE 200MM TF PN16 (BLQ)</t>
  </si>
  <si>
    <t>TEE PE PRE 250MM TF PN10 (BLQ)</t>
  </si>
  <si>
    <t>TEE PE PRE 63MM PN16 TERMF</t>
  </si>
  <si>
    <t>TORNILLO CANAL - 1.250 UN</t>
  </si>
  <si>
    <t>UNION FIB OPT 40MM PP</t>
  </si>
  <si>
    <t>UNION ELE PRE 110MM PE100 PN16</t>
  </si>
  <si>
    <t>UNION ELE PRE 160MM PE100 PN16</t>
  </si>
  <si>
    <t>UNION ELE PRE 200MM PE100 PN16</t>
  </si>
  <si>
    <t>UNION ELE PRE 63MM PE100 PN16</t>
  </si>
  <si>
    <t>UNION ELE PRE 90MM PE100 PN16</t>
  </si>
  <si>
    <t>UNION ELE PRE 250MM PE100 PN16</t>
  </si>
  <si>
    <t>UNION PF 3/4 - 50 UN</t>
  </si>
  <si>
    <t>UNION RAPIDA PE PRE 110MM PN6</t>
  </si>
  <si>
    <t>UNION RAPIDA PE PRE 16MM PN11</t>
  </si>
  <si>
    <t>UNION RAPIDA PE PRE 20MM PN11</t>
  </si>
  <si>
    <t>UNION RAPIDA PE PRE 25MM PN11</t>
  </si>
  <si>
    <t>UNION RAPIDA PE PRE 32MM PN11</t>
  </si>
  <si>
    <t>UNION RAPIDA PE PRE 63MM PN6</t>
  </si>
  <si>
    <t>UNION RAPIDA PE PRE 90MM PN6</t>
  </si>
  <si>
    <t>UNION REP PRE DESLIZANTE 1 - 50 UN</t>
  </si>
  <si>
    <t>UNION REP PRE DESLIZANTE 1.1/2 PVC</t>
  </si>
  <si>
    <t>UNION REP PRE DESLIZANTE 1/2 - 100 UN</t>
  </si>
  <si>
    <t>UNION REP PRE DESLIZANTE 2 PVC</t>
  </si>
  <si>
    <t>UNION REP PRE DESLIZANTE 3/4 - 100 UN</t>
  </si>
  <si>
    <t>VALV ESF 1 UNIV ROSC - 10 UN</t>
  </si>
  <si>
    <t>VALV ESF 1 UNIV SOLD - 10 UN</t>
  </si>
  <si>
    <t>VALV ESF 1.1/2 UNIV ROSC - 6 UN</t>
  </si>
  <si>
    <t>VALV ESF 1.1/2 UNIV SOLD - 6 UN</t>
  </si>
  <si>
    <t>VALV ESF 1/2 UNIV ROSC - 30 UN</t>
  </si>
  <si>
    <t>VALV ESF 1/2 UNIV SOLD - 30 UN</t>
  </si>
  <si>
    <t>VALV ESF 2 UNIV ROSC - 4 UN</t>
  </si>
  <si>
    <t>VALV ESF 2 UNIV SOLD - 4 UN</t>
  </si>
  <si>
    <t>VALV ESF 3/4 UNIV ROSC - 25 UN</t>
  </si>
  <si>
    <t>VALV ESF 3/4 UNIV SOLD - 25 UN</t>
  </si>
  <si>
    <t>FLANCHE MET 315MM UNIV</t>
  </si>
  <si>
    <t>PORTA FLANCHE PE PRE 315MM PN10 TERMF</t>
  </si>
  <si>
    <t>TEE PE PRE 315MM TF PN10 (BLQ)</t>
  </si>
  <si>
    <t>SILLETA PE PRE 110MMX1/2 NPT</t>
  </si>
  <si>
    <t>UNION FIB OPT 32MM (BLQ)</t>
  </si>
  <si>
    <t>CODO SAN 22.1/2 6 CXC</t>
  </si>
  <si>
    <t>TB SAN 6 3M</t>
  </si>
  <si>
    <t>TEE ACU 8 UM RDE21 CORTA</t>
  </si>
  <si>
    <t>CODO ACU 90 8 UM RDE21 CORTO</t>
  </si>
  <si>
    <t>CODO ACU 45 8 UM RDE21 CORTO</t>
  </si>
  <si>
    <t>RED ACU 8X6 UM RDE21 CORTA</t>
  </si>
  <si>
    <t>TAPON ACU 8 UM RDE21 CORTO</t>
  </si>
  <si>
    <t>CLICK INSERTA TEE 315X160MM</t>
  </si>
  <si>
    <t>COPA SIERRA CLICK INSERTA TEE160MM (BLQ)</t>
  </si>
  <si>
    <t>CANALETA CANAFLEX 13X7 CON ADHESIVO</t>
  </si>
  <si>
    <t>CANALETA CANAFLEX 32X12 SIN ADHESIVO</t>
  </si>
  <si>
    <t>VALV ESF 1/2 ROSC H2OFF - 240 UN</t>
  </si>
  <si>
    <t>VALV ESF 1/2 SOLD H2OFF - 240 UN</t>
  </si>
  <si>
    <t>VALV ESF 3/4 ROSC H2OFF - 120 UN</t>
  </si>
  <si>
    <t>VALV ESF 3/4 SOLD H2OFF - 120 UN</t>
  </si>
  <si>
    <t>VALV ESF 1 ROSC H2OFF - 80 UN</t>
  </si>
  <si>
    <t>VALV ESF 1 SOLD H2OFF - 80 UN</t>
  </si>
  <si>
    <t>UNION REP ACU UM 8 RDE21 CORTA</t>
  </si>
  <si>
    <t>CODO ACU 45 2.1/2 UM RDE21 CORTO</t>
  </si>
  <si>
    <t>CODO ACU 90 2.1/2 UM RDE21 CORTO</t>
  </si>
  <si>
    <t>CODO ACU 90 1.1/2 UM RDE21 CORTO</t>
  </si>
  <si>
    <t>TEE RED ACU 8X6 UM RDE21 CORTA</t>
  </si>
  <si>
    <t>TEE RED ACU 8X4 UM RDE21 CORTA</t>
  </si>
  <si>
    <t>TEE RED ACU 6X4 UM RDE21 CORTA</t>
  </si>
  <si>
    <t>TEE RED ACU 6X3 UM RDE21 CORTA</t>
  </si>
  <si>
    <t>TEE RED ACU 4X3 UM RDE21 CORTA</t>
  </si>
  <si>
    <t>TEE RED ACU 4X2.1/2 UM RDE21 CORTA</t>
  </si>
  <si>
    <t>TEE RED ACU 4X2 UM RDE21 CORTA</t>
  </si>
  <si>
    <t>TEE RED ACU 3X2.1/2 UM RDE21 CORTA</t>
  </si>
  <si>
    <t>TEE RED ACU 3X2 UM RDE21 CORTA</t>
  </si>
  <si>
    <t>TEE ACU 2.1/2 UM RDE21 CORTA</t>
  </si>
  <si>
    <t>TEE RED ACU 2.1/2X2 UM RDE21 CORTA</t>
  </si>
  <si>
    <t>TEE ACU 1.1/2 UM RDE21 CORTA</t>
  </si>
  <si>
    <t>RED ACU 4X2.1/2 UM RDE21 CORTA</t>
  </si>
  <si>
    <t>RED ACU 4X2 UM RDE21 CORTA</t>
  </si>
  <si>
    <t>RED ACU 3X2.1/2 UM RDE21 CORTA</t>
  </si>
  <si>
    <t>RED ACU 3X2 UM RDE21 CORTA</t>
  </si>
  <si>
    <t>RED ACU 2.1/2X2 UM RDE21 CORTA</t>
  </si>
  <si>
    <t>RED ACU 2X1.1/2 UM RDE21 CORTA</t>
  </si>
  <si>
    <t>KIT CONECTOR CAMARA 160 IN SITU</t>
  </si>
  <si>
    <t>KIT CONECTOR CAMARA 110 IN SITU (BLQ)</t>
  </si>
  <si>
    <t>TAPON CAMARA 315</t>
  </si>
  <si>
    <t>TAPON CAMARA 250</t>
  </si>
  <si>
    <t>TAPON CAMARA 200</t>
  </si>
  <si>
    <t>CLICK INSERTA TEE 250X160 MM</t>
  </si>
  <si>
    <t>ARO TAPA PP CAJA 315 LIVIANA</t>
  </si>
  <si>
    <t>ARO TAPA PP CAJA 400 LIVIANA</t>
  </si>
  <si>
    <t>ARO TAPA PP CAM INSP 1000/600 REDONDA</t>
  </si>
  <si>
    <t>ESCALERA CAMARA INSP 1000X500MM</t>
  </si>
  <si>
    <t>CLICK INSERTA TEE 355-400X160MM</t>
  </si>
  <si>
    <t>CLICK INSERTA TEE 450-500X160 MM (BLQ)</t>
  </si>
  <si>
    <t>VALV ESF 2 ROSC H2OFF - 25 UN</t>
  </si>
  <si>
    <t>VALV ESF 2 SOLD H2OFF - 25 UN</t>
  </si>
  <si>
    <t>COPA SIERRA IN SITU 160 MM</t>
  </si>
  <si>
    <t>ABRAZADERA REPARADUCTO 110MM</t>
  </si>
  <si>
    <t>CANALETA CANAFLEX 40X22 SIN ADH SIN DIVI</t>
  </si>
  <si>
    <t>COPA SIERRA IN SITU 110 MM</t>
  </si>
  <si>
    <t>COPA SIERRA IN SITU 200 MM (BLQ)</t>
  </si>
  <si>
    <t>COPA SIERRA IN SITU 250 MM</t>
  </si>
  <si>
    <t>COPA SIERRA IN SITU 315 MM (BLQ)</t>
  </si>
  <si>
    <t>KIT TORNILLO 5/16X2 INOX PARA ESCALERA</t>
  </si>
  <si>
    <t>ARO TAPA PP CAJA 400 PESADA</t>
  </si>
  <si>
    <t>ARO TAPA PP CAJA 315 PESADA</t>
  </si>
  <si>
    <t>TB PRE 200MM PE100 6M PN16</t>
  </si>
  <si>
    <t>ADAPT ROS M 2 CPVC HOTPRO</t>
  </si>
  <si>
    <t>BUJE PRE 1.1/4X1/2 SOLD CPVC HOTPRO</t>
  </si>
  <si>
    <t>BUJE PRE 1.1/4X3/4 SOLD CPVC HOTPRO</t>
  </si>
  <si>
    <t>BUJE PRE 1.1/2X1/2 SOLD CPVC HOTPRO</t>
  </si>
  <si>
    <t>BUJE PRE 1.1/2X3/4 SOLD CPVC HOTPRO</t>
  </si>
  <si>
    <t>BUJE PRE 2X1/2 SOLD CPVC HOTPRO</t>
  </si>
  <si>
    <t>BUJE PRE 2X3/4 SOLD CPVC HOTPRO</t>
  </si>
  <si>
    <t>BUJE PRE 2X1 SOLD CPVC HOTPRO</t>
  </si>
  <si>
    <t>BUJE PRE 2X1.1/4 SOLD CPVC HOTPRO</t>
  </si>
  <si>
    <t>BUJE PRE 2X1.1/2 SOLD CPVC HOTPRO</t>
  </si>
  <si>
    <t>CODO PRE 45 2 CPVC HOTPRO</t>
  </si>
  <si>
    <t>CODO PRE 90 2 CPVC HOTPRO</t>
  </si>
  <si>
    <t>TAPON PRE 2 SOLD CPVC HOTPRO</t>
  </si>
  <si>
    <t>TEE PRE 2 CPVC HOTPRO</t>
  </si>
  <si>
    <t>UNION PRE 2 CPVC HOTPRO</t>
  </si>
  <si>
    <t>TB PRE 20MM PE80 100M PN16 (BLQ)</t>
  </si>
  <si>
    <t>BRIDA AJUSTAB PVC SCH 80 3 SOLDAR-18 UN</t>
  </si>
  <si>
    <t>BRIDA AJUSTAB PVC SCH 80 4 SOLDAR-12 UN</t>
  </si>
  <si>
    <t>BRIDA AJUSTABLE PVC SCH 80 6 SOLDAR</t>
  </si>
  <si>
    <t>BRIDA AJUSTABLE PVC SCH 80 8 SOLDAR</t>
  </si>
  <si>
    <t>BRIDA AJUSTABLE PVC SCH 80 10 SOLDAR</t>
  </si>
  <si>
    <t>BRIDA AJUSTABLE PVC SCH 80 12 SOLDAR</t>
  </si>
  <si>
    <t>TB ALC NOVAFORT S8 200MM(8) 6M (C)</t>
  </si>
  <si>
    <t>YEE RED SAN 8X4 PVC</t>
  </si>
  <si>
    <t>YEE RED SAN 8X6 PVC</t>
  </si>
  <si>
    <t>YEE SAN 8 PVC</t>
  </si>
  <si>
    <t>YEE RED SAN 10X4 PVC</t>
  </si>
  <si>
    <t>YEE RED SAN 10X6 PVC</t>
  </si>
  <si>
    <t>YEE RED SAN 10X8 PVC</t>
  </si>
  <si>
    <t>YEE SAN 10 PVC</t>
  </si>
  <si>
    <t>TEE SAN 8 PVC</t>
  </si>
  <si>
    <t>TEE SAN 10 PVC</t>
  </si>
  <si>
    <t>CODO SAN 90 10 CXC PVC</t>
  </si>
  <si>
    <t>CODO SAN 45 10 CXC PVC</t>
  </si>
  <si>
    <t>CODO SAN 45 8 CXE PVC</t>
  </si>
  <si>
    <t>CODO SAN 45 10 CXE PVC</t>
  </si>
  <si>
    <t>CODO SAN 22.1/2 8 CXC PVC</t>
  </si>
  <si>
    <t>CODO SAN 22.1/2 10 CXC PVC</t>
  </si>
  <si>
    <t>TAPON SAN 8 PVC</t>
  </si>
  <si>
    <t>TAPON SAN 10 PVC</t>
  </si>
  <si>
    <t>BUJE SAN 8X4 SOLD PVC</t>
  </si>
  <si>
    <t>BUJE SAN 10X6 SOLD PVC</t>
  </si>
  <si>
    <t>BUJE SAN 10X8 SOLD PVC</t>
  </si>
  <si>
    <t>UNION SAN 10 PVC</t>
  </si>
  <si>
    <t>TB LISO 1.1/2 CPVC BM 4.572M (15PIES)</t>
  </si>
  <si>
    <t>TB LISO 1.1/4 CPVC BM 4.572M (15PIES)</t>
  </si>
  <si>
    <t>TB LISO 1 CPVC BM 4.572M (15PIES)</t>
  </si>
  <si>
    <t>TB LISO 2.1/2 CPVC BM 4.572M (15PIES)</t>
  </si>
  <si>
    <t>TB LISO 2 CPVC BM 4.572M (15PIES)</t>
  </si>
  <si>
    <t>TB LISO 3/4 CPVC BM 4.572M (15PIES)</t>
  </si>
  <si>
    <t>TB LISO 3 CPVC BM 4.572M (15PIES)</t>
  </si>
  <si>
    <t>UNION 3/4 CPVC BM CAMPANA</t>
  </si>
  <si>
    <t>UNION 1 CPVC BM CAMPANA</t>
  </si>
  <si>
    <t>UNION 1.1/4 CPVC BM CAMPANA</t>
  </si>
  <si>
    <t>UNION 1.1/2 CPVC BM CAMPANA</t>
  </si>
  <si>
    <t>UNION 2 CPVC BM CAMPANA</t>
  </si>
  <si>
    <t>UNION 2.1/2 CPVC BM CAMPANA</t>
  </si>
  <si>
    <t>UNION 3 CPVC BM CAMPANA</t>
  </si>
  <si>
    <t>UNION 1.1/4 CPVC BM CAMPANA-RANURA</t>
  </si>
  <si>
    <t>UNION 1.1/2 CPVC BM CAMPANA-RANURA</t>
  </si>
  <si>
    <t>UNION 2 CPVC BM CAMPANA-RANURA</t>
  </si>
  <si>
    <t>UNION 2.1/2 CPVC BM CAMPANA-RANURA</t>
  </si>
  <si>
    <t>UNION 3 CPVC BM CAMPANA-RANURA</t>
  </si>
  <si>
    <t>ADAPT HEM 3/4 CPVC BM C/INS MET CAMP-ROS</t>
  </si>
  <si>
    <t>ADAPT HEM 1 CPVC BM C/INS MET CAMP-ROSCA</t>
  </si>
  <si>
    <t>ADAPT HEM 1.1/4 CPVC BM C/IN MET CAM-ROS</t>
  </si>
  <si>
    <t>ADAPT HEM 1.1/2 CPVC BM C/IN MET CAM-ROS</t>
  </si>
  <si>
    <t>ADAPT HEM 2 CPVC BM C/INS MET CAMP-ROSCA</t>
  </si>
  <si>
    <t>BUJE ROC 3/4X1/2 INS MET CPVC BM CAM-ROS</t>
  </si>
  <si>
    <t>BUJE ROCIA 1X1/2 INS MET CPVC BM CAM-ROS</t>
  </si>
  <si>
    <t>ADAPT MACH 3/4 CPVC BM C/INS MET CAM-ROS</t>
  </si>
  <si>
    <t>ADAPT MACH 1 CPVC BM C/INS MET CAMP-ROSC</t>
  </si>
  <si>
    <t>ADAPT MACH 1.1/4 CPVC BM INS MET CAM-ROS</t>
  </si>
  <si>
    <t>ADAPT MACH 1.1/2 CPVC BM INS MET CAM-ROS</t>
  </si>
  <si>
    <t>ADAPT MACH 2 CPVC BM C/INS MET CAMP-ROSC</t>
  </si>
  <si>
    <t>CODO 45 3/4 CPVC BM CAMP-CAMP</t>
  </si>
  <si>
    <t>CODO 45 1 CPVC BM CAMP-CAMP</t>
  </si>
  <si>
    <t>CODO 45 1.1/4 CPVC BM CAMP-CAMP</t>
  </si>
  <si>
    <t>CODO 45 1.1/2 CPVC BM CAMP-CAMP</t>
  </si>
  <si>
    <t>CODO 45 2 CPVC BM CAMP-CAMP</t>
  </si>
  <si>
    <t>CODO 45 2.1/2 CPVC BM CAMP-CAMP</t>
  </si>
  <si>
    <t>CODO 45 3 CPVC BM CAMP-CAMP</t>
  </si>
  <si>
    <t>CODO 90 3/4 CPVC BM CAMP-CAMP</t>
  </si>
  <si>
    <t>CODO 90 1 CPVC BM CAMP-CAMP</t>
  </si>
  <si>
    <t>CODO 90 1.1/4 CPVC BM CAMP-CAMP</t>
  </si>
  <si>
    <t>CODO 90 1.1/2 CPVC BM CAMP-CAMP</t>
  </si>
  <si>
    <t>CODO 90 2 CPVC BM CAMP-CAMP</t>
  </si>
  <si>
    <t>CODO 90 2.1/2 CPVC BM CAMP-CAMP</t>
  </si>
  <si>
    <t>CODO 90 ROCIADOR 3/4X1/2 CPVC BM CAM-ROS</t>
  </si>
  <si>
    <t>CODO 90 ROCIADOR 1X1/2 CPVC BM CAMP-ROSC</t>
  </si>
  <si>
    <t>TEE 3/4 CPVC BM CAMPANA-CAMPANA</t>
  </si>
  <si>
    <t>TEE 1 CPVC BM CAMPANA-CAMPANA</t>
  </si>
  <si>
    <t>TEE 1.1/4 CPVC BM CAMPANA-CAMPANA</t>
  </si>
  <si>
    <t>TEE 1.1/2 CPVC BM CAMPANA-CAMPANA</t>
  </si>
  <si>
    <t>TEE 2 CPVC BM CAMPANA-CAMPANA</t>
  </si>
  <si>
    <t>TEE 2.1/2 CPVC BM CAMPANA-CAMPANA</t>
  </si>
  <si>
    <t>TEE 3 CPVC BM CAMPANA-CAMPANA</t>
  </si>
  <si>
    <t>TEE RED CPVC BM 1X3/4 CAMPANA-CAMPANA</t>
  </si>
  <si>
    <t>TEE RED CPVC BM 1.1/4X3/4 CAMPANA-CAMPAN</t>
  </si>
  <si>
    <t>TEE RED CPVC BM 1.1/4/X1 CAMPANA-CAMPANA</t>
  </si>
  <si>
    <t>TEE RED CPVC BM 1.1/2X3/4 CAMPANA-CAMPAN</t>
  </si>
  <si>
    <t>TEE RED CPVC BM 1.1/2X1 CAMPANA-CAMPANA</t>
  </si>
  <si>
    <t>TEE RED CPVC BM 1.1/2X1.1/4 CAMPANA-CAMP</t>
  </si>
  <si>
    <t>TEE RED CPVC BM 2X3/4 CAMPANA-CAMPANA</t>
  </si>
  <si>
    <t>TEE RED CPVC BM 2X1 CAMPANA-CAMPANA</t>
  </si>
  <si>
    <t>TEE RED CPVC BM 2X1.1/2 CAMPANA-CAMPANA</t>
  </si>
  <si>
    <t>TEE RED CPVC BM 2.1/2X1 CAMPANA-CAMPANA</t>
  </si>
  <si>
    <t>TEE RED CPVC BM 2.1/2X2 CAMPANA-CAMPANA</t>
  </si>
  <si>
    <t>TEE RED CPVC BM 3X2 CAMPANA-CAMPANA</t>
  </si>
  <si>
    <t>TEE RED CPVC BM 3X2.1/2 CAMPANA-CAMPANA</t>
  </si>
  <si>
    <t>TEE ROCIAD 3/4X1/2 CPVC BM CAM-ROSCA 1/2</t>
  </si>
  <si>
    <t>TEE ROCIADO 1X1/2 CPVC BM CAMP-ROSCA 1/2</t>
  </si>
  <si>
    <t>TEE ROCIA 1.1/4X1/2 CPVC BM CAM-ROSC 1/2</t>
  </si>
  <si>
    <t>TEE ROCIA 1.1/2X1/2 CPVC BM CAM-ROSC 1/2</t>
  </si>
  <si>
    <t>TEE ROCIADO 2X1/2 CPVC BM CAMP-ROSCA 1/2</t>
  </si>
  <si>
    <t>TAPON 3/4 SOLD CPVC BM CAMPANA</t>
  </si>
  <si>
    <t>TAPON 1 SOLD CPVC BM CAMPANA</t>
  </si>
  <si>
    <t>TAPON 1.1/4 SOLD CPVC BM CAMPANA</t>
  </si>
  <si>
    <t>TAPON 1.1/2 SOLD CPVC BM CAMPANA</t>
  </si>
  <si>
    <t>TAPON 2 SOLD CPVC BM CAMPANA</t>
  </si>
  <si>
    <t>TAPON 2.1/2 SOLD CPVC BM CAMPANA (BLQ)</t>
  </si>
  <si>
    <t>TAPON 3 SOLD CPVC BM CAMPANA</t>
  </si>
  <si>
    <t>BUJE 1X3/4 CPVC BM ESPIGO-CAMPANA</t>
  </si>
  <si>
    <t>BUJE 1.1/4X3/4 CPVC BM ESPIGO-CAMPANA</t>
  </si>
  <si>
    <t>BUJE 1.1/4X1 CPVC BM ESPIGO-CAMPANA</t>
  </si>
  <si>
    <t>BUJE 1.1/2X3/4 CPVC BM ESPIGO-CAMPANA</t>
  </si>
  <si>
    <t>BUJE 1.1/2X1 CPVC BM ESPIGO-CAMPANA</t>
  </si>
  <si>
    <t>BUJE 1.1/2X1.1/4 CPVC BM ESPIGO-CAMPANA</t>
  </si>
  <si>
    <t>BUJE 2X3/4 CPVC BM ESPIGO-CAMPANA</t>
  </si>
  <si>
    <t>BUJE 2X1 CPVC BM ESPIGO-CAMPANA</t>
  </si>
  <si>
    <t>BUJE 2X1.1/4 CPVC BM ESPIGO-CAMPANA</t>
  </si>
  <si>
    <t>BUJE 2X1.1/2 CPVC BM ESPIGO-CAMPANA</t>
  </si>
  <si>
    <t>BUJE 3X2.1/2 CPVC BM ESPIGO-CAMPANA</t>
  </si>
  <si>
    <t>SOLDADURA CPVC BM 1/8GAL (1 PT) (BLQ)</t>
  </si>
  <si>
    <t>SOLDADURA CPVC BM 1/4GAL (1 QT)</t>
  </si>
  <si>
    <t>UNION UNIV 3/4 CPVC BM CAMPANA-CAMPANA</t>
  </si>
  <si>
    <t>UNION UNIV 1 CPVC BM CAMPANA-CAMPANA</t>
  </si>
  <si>
    <t>TB PRE 315MM PE100 6M PN16</t>
  </si>
  <si>
    <t>UNION FIB OPT 50MM PP (BLQ)</t>
  </si>
  <si>
    <t>RED PE PRE 250X160MM PN10 TERMF</t>
  </si>
  <si>
    <t>RED PE PRE 315X250MM PN10 TERMF</t>
  </si>
  <si>
    <t>FLOTADOR PLASTICO TANQUE 1/2</t>
  </si>
  <si>
    <t>RED PE PRE 90X63MM PN16 TERMF</t>
  </si>
  <si>
    <t>TEE PE PRE 90MM PN16 TERMF</t>
  </si>
  <si>
    <t>TB PRE 110MM PE100 50M PN8 (BLQ)</t>
  </si>
  <si>
    <t>TB PRE 160MM PE100 6M PN8</t>
  </si>
  <si>
    <t>GEOTEXTIL NO TEJIDO 1600S 3.5</t>
  </si>
  <si>
    <t>TB PRE 63MM PE100 100M PN12.5 (BLQ)</t>
  </si>
  <si>
    <t>TB PRE 20MM PE100 100M PN16</t>
  </si>
  <si>
    <t>TB PRE 25MM PE80 100M PN16 (BLQ)</t>
  </si>
  <si>
    <t>COLL DERIV ACU INS MET 2X1/2 - 50 UN</t>
  </si>
  <si>
    <t>COLL DERIV ACU INS MET 2.1/2X1/2 - 50 UN</t>
  </si>
  <si>
    <t>COLL DERIV ACU INS MET 3X1/2 - 50 UN</t>
  </si>
  <si>
    <t>COLL DERIV ACU INS MET 4X1/2 - 25 UN</t>
  </si>
  <si>
    <t>COLL DERIV ACU INS MET 6X1/2 - 20 UN</t>
  </si>
  <si>
    <t>TANQUE BOTELLA 1100LT AZUL</t>
  </si>
  <si>
    <t>CODO INTERNO PLASTICO CANALETA 13X7</t>
  </si>
  <si>
    <t>CODO EXTERNO PLASTICO CANALETA 13X7</t>
  </si>
  <si>
    <t>CODO PLANO PLASTICO CANALETA 13X7</t>
  </si>
  <si>
    <t>UNION PLASTICA CANALETA 13X7</t>
  </si>
  <si>
    <t>CODO INTERNO PLASTICO CANALETA 20X12</t>
  </si>
  <si>
    <t>CODO EXTERNO PLASTICO CANALETA 20X12</t>
  </si>
  <si>
    <t>CODO PLANO PLASTICO CANALETA 20X12</t>
  </si>
  <si>
    <t>UNION PLASTICA CANALETA 20X12</t>
  </si>
  <si>
    <t>TB ALC NOVAFORT S4 PLUS 823MM(33) 6.5M</t>
  </si>
  <si>
    <t>TB ALC NOVAFORT S4 PLUS 898MM(36) 6.5M</t>
  </si>
  <si>
    <t>TB LISO PRE 6 RDE21 6M</t>
  </si>
  <si>
    <t>TB PRE 355MM PE100 6M PN16</t>
  </si>
  <si>
    <t>TB PRE 355MM PE100 6M PN10</t>
  </si>
  <si>
    <t>TB PRE 400MM PE100 6M PN10</t>
  </si>
  <si>
    <t>TB PRE 400MM PE100 6M PN16</t>
  </si>
  <si>
    <t>TB PE FOPT 50MM RDE13.5 OPTIF 500M</t>
  </si>
  <si>
    <t>TEE PE PRE 250MM TF PN16 (BLQ)</t>
  </si>
  <si>
    <t>CODO PE PRE 45 315MM TF PN10 (BLQ)</t>
  </si>
  <si>
    <t>CODO PE 45 355MM TF PN10 (BLQ)</t>
  </si>
  <si>
    <t>CODO PE PRE 45 400MM TF PN10 (BLQ)</t>
  </si>
  <si>
    <t>CODO PE PRE 90 315MM TF PN10 (BLQ)</t>
  </si>
  <si>
    <t>CODO PE PRE 90 355MM TF PN10 (BLQ)</t>
  </si>
  <si>
    <t>CODO PE PRE 90 400MM TF PN10 (BLQ)</t>
  </si>
  <si>
    <t>PORTA FLANCHE PE PRE 355MM PN10 TERMF</t>
  </si>
  <si>
    <t>PORTA FLANCHE PE PRE 400MM PN10 TERMF</t>
  </si>
  <si>
    <t>RED PE PRE 355X315MM PN10 TERMF</t>
  </si>
  <si>
    <t>RED PE PRE 400X355MM PN10 TERMF</t>
  </si>
  <si>
    <t>TAPON PE PRE 355MM PN10 TERMF</t>
  </si>
  <si>
    <t>TAPON PE PRE 400MM PN10 TERMF (BLQ)</t>
  </si>
  <si>
    <t>TEE PE 355MM PN10 TERMF (BLQ)</t>
  </si>
  <si>
    <t>TEE PE PRE 400MM PN10 TERMF</t>
  </si>
  <si>
    <t>UNION ELE PRE 315MM PE100 PN16</t>
  </si>
  <si>
    <t>UNION ELE PRE 355MM PE100 PN16 (BLQ)</t>
  </si>
  <si>
    <t>UNION ELE PRE 400MM PE100 PN16 (BLQ)</t>
  </si>
  <si>
    <t>CODO PE PRE 45 315MM TF PN16 (BLQ)</t>
  </si>
  <si>
    <t>CODO PE PRE 45 400MM TF PN16 (BLQ)</t>
  </si>
  <si>
    <t>CODO PE PRE 90 315MM TF PN16 (BLQ)</t>
  </si>
  <si>
    <t>CODO PE PRE 90 400MM TF PN16 (BLQ)</t>
  </si>
  <si>
    <t>PORTA FLANCHE PE PRE 315MM PN16 TERMF</t>
  </si>
  <si>
    <t>PORTA FLANCHE PE PRE 355MM PN16 TERMF</t>
  </si>
  <si>
    <t>PORTA FLANCHE PE 400MM PN16 TERMF (BLQ)</t>
  </si>
  <si>
    <t>RED PE PRE 250X160MM PN16 TERMF</t>
  </si>
  <si>
    <t>RED PE PRE 315X250MM PN16 TERMF</t>
  </si>
  <si>
    <t>RED PE PRE 355X315MM PN16 TERMF (BLQ)</t>
  </si>
  <si>
    <t>RED PE PRE 400X355MM PN16 TERMF (BLQ)</t>
  </si>
  <si>
    <t>TAPON PE PRE 355MM PN16 TERMF (BLQ)</t>
  </si>
  <si>
    <t>TAPON PE PRE 400MM PN16 TERMF (BLQ)</t>
  </si>
  <si>
    <t>TEE PE PRE 160MM PN16 TERMF</t>
  </si>
  <si>
    <t>TEE PE PRE 315MM TF PN16 (BLQ)</t>
  </si>
  <si>
    <t>TEE PE PRE 400MM PN16 TERMF</t>
  </si>
  <si>
    <t>FLANCHE MET 355MM UNIV (BLQ)</t>
  </si>
  <si>
    <t>FLANCHE MET 400MM UNIV</t>
  </si>
  <si>
    <t>TECNOTEXTIL 2</t>
  </si>
  <si>
    <t>VALV GAS MARIPOSA 1/2 1216</t>
  </si>
  <si>
    <t>TB SAN 2 1M - 10UN</t>
  </si>
  <si>
    <t>TB SAN 3 1M - 7UN</t>
  </si>
  <si>
    <t>TB SAN 4 1M - 7UN</t>
  </si>
  <si>
    <t>TB SAN 6 1M - 3UN</t>
  </si>
  <si>
    <t>UNION ALC NOVALOC 68 PS7.5</t>
  </si>
  <si>
    <t>TB ACU 24 UM RDE21 200PSI 6M</t>
  </si>
  <si>
    <t>ADAPT ALC 200MM NOVAFORT A SAN 8</t>
  </si>
  <si>
    <t>ADAPT ALC 250MM NOVAFORT A SAN 10</t>
  </si>
  <si>
    <t>TB PRE 200MM PE100 6M PN6</t>
  </si>
  <si>
    <t>TB PRE 200MM PE100 6M PN8 (BLQ)</t>
  </si>
  <si>
    <t>TB ALC NOVAFORT S4 315MM(12) 6M</t>
  </si>
  <si>
    <t>TB ACU 24 UM RDE26 160PSI 6M (BLQ)</t>
  </si>
  <si>
    <t>CODO QS PVC 45 50MM CXC</t>
  </si>
  <si>
    <t>CODO QS PVC 45 50MM CXE</t>
  </si>
  <si>
    <t>CODO QS PVC 45 63MM CXC</t>
  </si>
  <si>
    <t>CODO QS PVC 45 63MM CXE</t>
  </si>
  <si>
    <t>CODO QS PVC 45 100MM CXC</t>
  </si>
  <si>
    <t>CODO QS PVC 45 100MM CXE</t>
  </si>
  <si>
    <t>CODO QS PVC 45 125MM CXE</t>
  </si>
  <si>
    <t>CLICK CONECTOR MANGUERA FLEX QS PVC 50MM</t>
  </si>
  <si>
    <t>EMBUDO CONECTOR QS PVC 2.1/2X50MM</t>
  </si>
  <si>
    <t>JUNTA EXPANSION QS PVC 100MM</t>
  </si>
  <si>
    <t>JUNTA EXPANSION QS PVC 125MM</t>
  </si>
  <si>
    <t>JUNTA EXPANSION QS PVC 160MM</t>
  </si>
  <si>
    <t>JUNTA EXPANSION QS PVC 200MM</t>
  </si>
  <si>
    <t>MANGUERA FLEXIBLE QS PVC 50MM</t>
  </si>
  <si>
    <t>MANGUERA FLEXIBLE QS PVC 63MM</t>
  </si>
  <si>
    <t>RED QS PVC EXC 80X50MM</t>
  </si>
  <si>
    <t>RED QS PVC EXC 100X50MM</t>
  </si>
  <si>
    <t>RED QS PVC EXC 100X63MM</t>
  </si>
  <si>
    <t>RED QS PVC EXC 125X50MM</t>
  </si>
  <si>
    <t>RED QS PVC EXC 125X100MM</t>
  </si>
  <si>
    <t>RED QS PVC EXC 200X125MM</t>
  </si>
  <si>
    <t>RED QS PVC EXC 200X160MM</t>
  </si>
  <si>
    <t>RED QS PVC CONC 110X100MM (BLQ)</t>
  </si>
  <si>
    <t>SOPORTE DESLIZANT QS 63MMXM8 HORIZONTAL</t>
  </si>
  <si>
    <t>SOPORTE DESLIZANT QS 80MMXM8 HORIZONTAL</t>
  </si>
  <si>
    <t>SOPORTE DESLIZANT QS 100MMXM8 HORIZONTA</t>
  </si>
  <si>
    <t>SOPORTE DESLIZANT QS 125MMXM8 HORIZONTA</t>
  </si>
  <si>
    <t>SOPORTE DESLIZANT QS 160MMXM8 HORIZONTA</t>
  </si>
  <si>
    <t>SOPORTE DESLIZANT QS 200MMXM8 HORIZONTA</t>
  </si>
  <si>
    <t>SOPORTE FIJO QS 100MMX1/2 VERTICAL</t>
  </si>
  <si>
    <t>SOPORTE FIJO QS 125MMX1/2 VERTICAL</t>
  </si>
  <si>
    <t>SOPORTE FIJO QS 160MMX1/2 VERTICAL</t>
  </si>
  <si>
    <t>SOPORTE FIJO QS 200MMX1/2 VERTICAL</t>
  </si>
  <si>
    <t>SOPORTE DESLIZANT QS 100MMXM10 VERTICAL</t>
  </si>
  <si>
    <t>SOPORTE DESLIZANT QS 125MMXM10 VERTICAL</t>
  </si>
  <si>
    <t>SOPORTE DESLIZANT QS 160MMXM10 VERTICAL</t>
  </si>
  <si>
    <t>SOPORTE DESLIZANT QS 200MMXM10 VERTICAL</t>
  </si>
  <si>
    <t>UNION QS PVC 80MM</t>
  </si>
  <si>
    <t>YEE QS PVC 80MM CAMPANA</t>
  </si>
  <si>
    <t>TRAGANTE 40L/SG 2.5 P/CANAL METALICA</t>
  </si>
  <si>
    <t>CODO PVC KGB 45 125MM</t>
  </si>
  <si>
    <t>CODO PVC KGB 45 160MM</t>
  </si>
  <si>
    <t>CODO PVC KGB 45 200MM</t>
  </si>
  <si>
    <t>UNION KGMM PVC 160MM</t>
  </si>
  <si>
    <t>TANQUE HORIZONTAL ENTERRAR 2000LT</t>
  </si>
  <si>
    <t>TB GAS 4 RDE11 12M PE100 NAR</t>
  </si>
  <si>
    <t>TB ACU 10 RDE13.5 EL 6M (BLQ)</t>
  </si>
  <si>
    <t>TB PRE 250MM PE100 6M PN16</t>
  </si>
  <si>
    <t>TB BIAX 3 6M PR200</t>
  </si>
  <si>
    <t>TB BIAX 3 6M PR160</t>
  </si>
  <si>
    <t>JUNTA EXPANSION QS PVC 63MM</t>
  </si>
  <si>
    <t>SOPORTE FIJO QS 63MMX1/2 VERTICAL</t>
  </si>
  <si>
    <t>SOPORTE FIJO QS 80MMX1/2 VERTICAL</t>
  </si>
  <si>
    <t>SOPORTE DESLIZANTE QS 63MMXM10 VERTICAL</t>
  </si>
  <si>
    <t>SOPORTE DESLIZANTE QS 80MMXM10 VERTICAL</t>
  </si>
  <si>
    <t>CODO PVC KGB 15 200MM</t>
  </si>
  <si>
    <t>CODO PVC KGB 30 160MM</t>
  </si>
  <si>
    <t>CODO PVC KGB 90 160MM</t>
  </si>
  <si>
    <t>CODO PVC KGB 90 200MM</t>
  </si>
  <si>
    <t>TB PRE 90MM PE100 6M PN6 (BLQ)</t>
  </si>
  <si>
    <t>TB PRE 110MM PE100 10M PN6 (BLQ)</t>
  </si>
  <si>
    <t>TB BIAX 16 6M PR160</t>
  </si>
  <si>
    <t>TB BIAX 16 6M PR200</t>
  </si>
  <si>
    <t>ADAPT LIMPIEZA SAN 8</t>
  </si>
  <si>
    <t>ADAPT LIMPIEZA SAN 10</t>
  </si>
  <si>
    <t>PORTA FLANCHE PE PRE 110MM PN16 TERMF</t>
  </si>
  <si>
    <t>TB BIAX 18 6M PR160</t>
  </si>
  <si>
    <t>TB BIAX 18 6M PR200</t>
  </si>
  <si>
    <t>TB BIAX 20 6M PR160</t>
  </si>
  <si>
    <t>TB BIAX 20 6M PR200</t>
  </si>
  <si>
    <t>TB PRE 400MM PE100 6M PN8 (BLQ)</t>
  </si>
  <si>
    <t>SILLETA PE PRE 63MMX1/2 NPT</t>
  </si>
  <si>
    <t>CLICK CONECTOR MANGUERA FLEX QS PVC 40MM</t>
  </si>
  <si>
    <t>EMBUDO CONECTOR QS PVC 2.1/2X40MM</t>
  </si>
  <si>
    <t>JUNTA EXPANSION QS PVC 40MM</t>
  </si>
  <si>
    <t>JUNTA EXPANSION QS PVC 50MM</t>
  </si>
  <si>
    <t>RED QS PVC EXC 63X40MM</t>
  </si>
  <si>
    <t>RED QS PVC EXC 80X40MM</t>
  </si>
  <si>
    <t>RED QS PVC EXC 100X40MM</t>
  </si>
  <si>
    <t>SOPORTE DESLIZANT QS 40MMXM8 HORIZONTAL</t>
  </si>
  <si>
    <t>SOPORTE DESLIZANT QS 50MMXM8 HORIZONTAL</t>
  </si>
  <si>
    <t>SOPORTE FIJO QS 40MMX1/2 VERTICAL</t>
  </si>
  <si>
    <t>SOPORTE FIJO QS 50MMX1/2 VERTICAL</t>
  </si>
  <si>
    <t>SOPORTE DESLIZANTE QS 40MMXM10 VERTICAL</t>
  </si>
  <si>
    <t>SOPORTE DESLIZANT QS 50MMXM10 VERTICAL</t>
  </si>
  <si>
    <t>YEE QS PVC 40MM CAMPANA</t>
  </si>
  <si>
    <t>YEE QS PVC 50MM CAMPANA</t>
  </si>
  <si>
    <t>YEE QS PVC 63MM CAMPANA</t>
  </si>
  <si>
    <t>TAPON QS PVC 63MM C</t>
  </si>
  <si>
    <t>TRAGANTE QS 75-260 P/MEMBRANA</t>
  </si>
  <si>
    <t>TRAGANTE QS 75-260 P/MEMBRANA-TRITURADO</t>
  </si>
  <si>
    <t>TAPON PE PRE 90MM PN16 TERMF</t>
  </si>
  <si>
    <t>TB ALC NOVALOC 45 6M-UNION 45</t>
  </si>
  <si>
    <t>TB ALC NOVALOC 48 6M-UNION 48</t>
  </si>
  <si>
    <t>TB ALC NOVALOC 51 6M-UNION 51</t>
  </si>
  <si>
    <t>TB ALC NOVALOC 54 6M-UNION 54</t>
  </si>
  <si>
    <t>TB ALC NOVALOC 57 6M-UNION 57</t>
  </si>
  <si>
    <t>TB ALC NOVALOC 60 PS10 6M-UNION 60 PS10</t>
  </si>
  <si>
    <t>TB ALC NOVALO 68 PS7.5 5M-UNION 68 PS7.5</t>
  </si>
  <si>
    <t>CODO QS PVC 15 125MM CXC (BLQ)</t>
  </si>
  <si>
    <t>TAPON PRUEBA SAN 6 - 25 UN</t>
  </si>
  <si>
    <t>CODO QS PVC 15 80MM CXC</t>
  </si>
  <si>
    <t>TB PRE 200MM PE100 6M PN12.5</t>
  </si>
  <si>
    <t>TB PRE 400MM PE100 6M PN12.5 (BLQ)</t>
  </si>
  <si>
    <t>TB PRE 160MM PE100 6M PN25 (BLQ)</t>
  </si>
  <si>
    <t>TB PRE 75MM PE100 100M PN10</t>
  </si>
  <si>
    <t>DIABLO ROJO - 12 UN</t>
  </si>
  <si>
    <t>SILLA TEE ALC 27X315MM NOVAFORT (BLQ)</t>
  </si>
  <si>
    <t>TB PRE 160MM PE100 6M PN6</t>
  </si>
  <si>
    <t>TANQUE BOTELLA 300LT AZUL</t>
  </si>
  <si>
    <t>TB PRE 200MM PE100 6M PN20 (BLQ)</t>
  </si>
  <si>
    <t>CAJA LLAVES DE LAVADORA PVC - 15 UN</t>
  </si>
  <si>
    <t>REJILLA ANTICUCARA SIFONADA PVC 3X2-50UN</t>
  </si>
  <si>
    <t>REJILLA PERIMETRAL SIFONADA PVC 3X2-50UN</t>
  </si>
  <si>
    <t>REJILLA PISO ANTICUCARACHA PVC 3X2 -60UN</t>
  </si>
  <si>
    <t>REJILLA PISO ANTICUCAR CUAD PVC 3X2-60UN</t>
  </si>
  <si>
    <t>REJILLA PISO CORRIENTE PVC 3X1.1/2- 60UN</t>
  </si>
  <si>
    <t>REJILLA PISO CORRIENTE PVC 3X2 - 50 UN</t>
  </si>
  <si>
    <t>REJILLA PISO CORRIENTE PVC 5X3 - 40 UN</t>
  </si>
  <si>
    <t>REJILLA PISO CORRIENTE CUAD PVC 3X2-60UN</t>
  </si>
  <si>
    <t>REJILLA PISO DIAGONAL PVC 3X2 - 60 UN</t>
  </si>
  <si>
    <t>REJILLA PISO ESTRELLA PVC 3X2 - 60 UN</t>
  </si>
  <si>
    <t>REJILLA VENTILAC CORRIE PVC 15X15CM-40UN</t>
  </si>
  <si>
    <t>REJILLA VENTILAC CORRIE PVC 20X20CM-20UN</t>
  </si>
  <si>
    <t>REJILLA VENTILAC EUROPE PVC 20X20CM-15UN</t>
  </si>
  <si>
    <t>REJILLA VENTILACION GAS PVC 20X20CM-20UN</t>
  </si>
  <si>
    <t>REJILLA VENTILA PERSIAN PVC 15X15CM-25UN</t>
  </si>
  <si>
    <t>REJILLA VENTILAC PERSIA PVC 20X20CM-15UN</t>
  </si>
  <si>
    <t>TAPA REGISTRO CORRIENTE PVC 15X15CM-20UN</t>
  </si>
  <si>
    <t>TAPA REGISTRO CORRIENTE PVC 20X20CM-25UN</t>
  </si>
  <si>
    <t>VALVULA POZUELO CON SOSCO PVC 2.1/2-50UN</t>
  </si>
  <si>
    <t>VALVULA POZUELO SIN SOSCO PVC 2.1/2-50UN</t>
  </si>
  <si>
    <t>SOLDADUR APLICPVCCOLOR 1/4GAL-12UN (BLQ)</t>
  </si>
  <si>
    <t>TB PRE 50MM PE100 100M PN16</t>
  </si>
  <si>
    <t>TAPA TANQUE BOTELLA AZUL</t>
  </si>
  <si>
    <t>TB LISOAGUARECUP 3/4RDE11 6M-24 UN (BLQ)</t>
  </si>
  <si>
    <t>TB LISOAGUARECUPE 1RDE13.5 6M-24UN (BLQ)</t>
  </si>
  <si>
    <t>TB LISOAGUARECUPE1.1/4RDE216M-24UN (BLQ)</t>
  </si>
  <si>
    <t>TB LISO AGUARECUPER 1.1/2 RDE21 6M (BLQ)</t>
  </si>
  <si>
    <t>TB LISO AGUA RECUPERADA 2 RDE21 6M (BLQ)</t>
  </si>
  <si>
    <t>TB LISOAGUARECUPER1/2 RDE9 6M-24UN (BLQ)</t>
  </si>
  <si>
    <t>CALENTADOR QS P/TRAGANTE 220V</t>
  </si>
  <si>
    <t>TB PRE 90MM PE100 100M PN12.5 (BLQ)</t>
  </si>
  <si>
    <t>TB PRE 110MM PE100 50M PN12.5</t>
  </si>
  <si>
    <t>TB ALC NOVAFORT S4 975MM(39) 6.5M</t>
  </si>
  <si>
    <t>TB ALC NOVAFORT S4 1051MM(42) 6.5M</t>
  </si>
  <si>
    <t>PORTA FLANCHE PE PRE 75MM PN16 TERMF</t>
  </si>
  <si>
    <t>RED PE PRE 110X75MM PN16 TERMF</t>
  </si>
  <si>
    <t>TEE PE PRE 75MM PN16 TERMF</t>
  </si>
  <si>
    <t>CODO PE 45 250MM TERMOENSAMBL PE100 PN10</t>
  </si>
  <si>
    <t>ELEVADOR NOVAFORTCAMARA1000X5525MM (BLQ)</t>
  </si>
  <si>
    <t>BASE CAMARA INSP 600 TIPO TANQUE</t>
  </si>
  <si>
    <t>CODO PE 22.1/2 355MM TERMOENS PE100 PN10</t>
  </si>
  <si>
    <t>CODOPE11.1/4 355MMTERMOENSPE100PN10(BLQ)</t>
  </si>
  <si>
    <t>TB DIVIDIDO REPARACION CABLES 3M</t>
  </si>
  <si>
    <t>SILLA YEE ALC 30X160MM NOVAFORT</t>
  </si>
  <si>
    <t>SILLA YEE ALC 36X160MM NOVAFORT</t>
  </si>
  <si>
    <t>TB GAS 219MM RDE11 10M PE NAR</t>
  </si>
  <si>
    <t>TB PRE 250MM PE100 6M PN8 (BLQ)</t>
  </si>
  <si>
    <t>SILLA YEE ALC 33X160MM NOVAFORT</t>
  </si>
  <si>
    <t>TB ACU 24 UM RDE32.5 125PSI 6M (BLQ)</t>
  </si>
  <si>
    <t>RED PE PRE 90X75MM PN10 TERMF</t>
  </si>
  <si>
    <t>RED PE PRE 110X75MM PN10 TERMF (BLQ)</t>
  </si>
  <si>
    <t>TRAGANTE QS 75-260 P/CANAL METALICA</t>
  </si>
  <si>
    <t>TB ALC NOVAFORT S4 595MM(24) 6.5M</t>
  </si>
  <si>
    <t>ADH ACC ALC EPOX NOVAF 1/8A+1/8B= 1/4GAL</t>
  </si>
  <si>
    <t>UNION ALC S4 PLUS 823MM(33) NOVAFORT</t>
  </si>
  <si>
    <t>PORTAFLANCHE PE PRE75MM PN10 TERMF (BLQ)</t>
  </si>
  <si>
    <t>TAPON PE PRE 75MM PN10 TERMF</t>
  </si>
  <si>
    <t>TB ALC NOVAFORT S4 747MM(30) 6.5M</t>
  </si>
  <si>
    <t>ADH ACC ALC EPOX NOVAF 1/4A+1/4B= 1/2GAL</t>
  </si>
  <si>
    <t>RED CONC NOVAFORT 250MMX200MM</t>
  </si>
  <si>
    <t>CODO PE INY 90 63MM TF PN10</t>
  </si>
  <si>
    <t>CODO PE INY 90 90MM TF PN10 - 16 UN</t>
  </si>
  <si>
    <t>CODO PE INY 90 110MM TF PN10 - 5 UN</t>
  </si>
  <si>
    <t>CODO PE INY 90 160MM TF PN10 - 2 UN</t>
  </si>
  <si>
    <t>PORTA FLANCHE PE INY 63MM TF PN10</t>
  </si>
  <si>
    <t>PORTA FLANCHE PE INY 90MM TF PN10 - 20UN</t>
  </si>
  <si>
    <t>PORTA FLANCHE PE INY 110MM TF PN10 - 8UN</t>
  </si>
  <si>
    <t>PORTA FLANCHE PE INY 160MM TF PN10 - 4UN</t>
  </si>
  <si>
    <t>RED PE INY 90X63MM TF PN10</t>
  </si>
  <si>
    <t>RED PE INY 110X90MM TF PN10 - 15 UN</t>
  </si>
  <si>
    <t>RED PE INY 160X90MM TF PN10</t>
  </si>
  <si>
    <t>RED PE INY 160X110MM TF PN10 - 8 UN</t>
  </si>
  <si>
    <t>TAPON PE INY 63MM TF PN10 - 25 UN</t>
  </si>
  <si>
    <t>TAPON PE INY 90MM TF PN10 - 25N</t>
  </si>
  <si>
    <t>TAPON PE INY 110MM TF PN10 - 20 UN</t>
  </si>
  <si>
    <t>TEE PE INY 90MM TF PN10 - 10 UN</t>
  </si>
  <si>
    <t>TEE PE INY 110MM TF PN10 - 5 UN</t>
  </si>
  <si>
    <t>TEE PE INY 160MM TF PN10 - 2 UN</t>
  </si>
  <si>
    <t>REJILLA PISO CORRIENTE PVC 4X3 - 40 UN</t>
  </si>
  <si>
    <t>REJILLA VENTILACION GAS PVC 26X26CM-14UN</t>
  </si>
  <si>
    <t>CAJA PARA REGISTRO GAS PVC - 20 UN</t>
  </si>
  <si>
    <t>CODO PE PRE 45 125MM TF PN16</t>
  </si>
  <si>
    <t>CODO PE PRE 90 125MM TF PN16</t>
  </si>
  <si>
    <t>PORTA FLANCHE PE 125MM PN16 TERMF (BLQ)</t>
  </si>
  <si>
    <t>PORTA FLANCHE PE 180MM PN16 TERMF (BLQ)</t>
  </si>
  <si>
    <t>TAPON PE PRE 25MM PN16 TERMF (BLQ)</t>
  </si>
  <si>
    <t>TAPON PE PRE 32MM PN16 TERMF</t>
  </si>
  <si>
    <t>TAPON PE PRE 125MM PN16 TERMF</t>
  </si>
  <si>
    <t>TEE PE PRE 125MM PN16 TERMF</t>
  </si>
  <si>
    <t>UNION ELE PRE 125MM PE100 PN16</t>
  </si>
  <si>
    <t>TB PRE 32MM PE80 100M PN16 (BLQ)</t>
  </si>
  <si>
    <t>TB PRE 40MM PE80 100M PN16 (BLQ)</t>
  </si>
  <si>
    <t>TB PRE 63MM PE100 100M PN6 (BLQ)</t>
  </si>
  <si>
    <t>UNION ALC S4 595MM(24) NOVAFORT</t>
  </si>
  <si>
    <t>TEE PE 315MM TERMOENSAMBLADA PE100 PN16</t>
  </si>
  <si>
    <t>BUJE 6X4 SOLD PVC GRIS SCH80 (BLQ)</t>
  </si>
  <si>
    <t>CANALETA CANAFLEX 40X22 SIN ADH CON DIVI</t>
  </si>
  <si>
    <t>TEE PE 355MM TERMOENSAMBLADA PE100 PN16</t>
  </si>
  <si>
    <t>ELEVADOR NOVAFORT CAMARA 600X750MM</t>
  </si>
  <si>
    <t>ELEVADOR NOVAFORT CAMARA 600X1000MM</t>
  </si>
  <si>
    <t>ELEVADOR NOVAFORT CAMARA 600X1250MM</t>
  </si>
  <si>
    <t>ELEVADOR NOVAFORT CAMARA 600X1500MM</t>
  </si>
  <si>
    <t>CODO PE 90 200MM TERMOENSAMBL PE100 PN16</t>
  </si>
  <si>
    <t>TB LISO 2.1/2 CPVC SCH80 5.795M (19PIES)</t>
  </si>
  <si>
    <t>TB LISO 3 CPVC SCH80 5.795M (19PIES)</t>
  </si>
  <si>
    <t>TB LISO 4 CPVC SCH80 5.795M (19PIES)</t>
  </si>
  <si>
    <t>ADAPT ROS MACH 1/2 CPVC SCH80</t>
  </si>
  <si>
    <t>ADAPT ROS MACH 1.1/2 CPVC SCH80</t>
  </si>
  <si>
    <t>ADAPT ROS MACH 2 CPVC SCH80</t>
  </si>
  <si>
    <t>BUJE 1X1/2 SOLD CPVC SCH80</t>
  </si>
  <si>
    <t>BUJE 2X1.1/2 SOLD CPVC SCH80</t>
  </si>
  <si>
    <t>BUJE 2.1/2X1.1/2 SOLD CPVC SCH80</t>
  </si>
  <si>
    <t>BUJE 3X2.1/2 SOLD CPVC SCH80</t>
  </si>
  <si>
    <t>BUJE 4X2 SOLD CPVC SCH80</t>
  </si>
  <si>
    <t>CODO 90 2.1/2 CPVC SCH80</t>
  </si>
  <si>
    <t>CODO 90 3 CPVC SCH80</t>
  </si>
  <si>
    <t>CODO 90 4 CPVC SCH80</t>
  </si>
  <si>
    <t>TAPON 2.1/2 SOLD CPVC SCH80</t>
  </si>
  <si>
    <t>TAPON 3 SOLD CPVC SCH80</t>
  </si>
  <si>
    <t>TAPON 4 SOLD CPVC SCH80</t>
  </si>
  <si>
    <t>TEE 2.1/2 CPVC SCH80</t>
  </si>
  <si>
    <t>TEE 3 CPVC SCH80</t>
  </si>
  <si>
    <t>TEE 4 CPVC SCH80</t>
  </si>
  <si>
    <t>UNION 2.1/2 CPVC SCH80</t>
  </si>
  <si>
    <t>UNION 3 CPVC SCH80</t>
  </si>
  <si>
    <t>UNION 4 CPVC SCH80</t>
  </si>
  <si>
    <t>CODO PE 45 355MM TERMOENSAMBL PE100 PN16</t>
  </si>
  <si>
    <t>TEE PE 315MM TERMOENSAMBLADA PE100 PN10</t>
  </si>
  <si>
    <t>CODO PE 90 355MM TERMOENSPE100PN16 (BLQ)</t>
  </si>
  <si>
    <t>TB LISO EXT 40MM QS RDE20 5M</t>
  </si>
  <si>
    <t>TB LISO EXT 50MM QS RDE25 5M</t>
  </si>
  <si>
    <t>CODO PE 45 315MM TERMOENSAMBL PE100 PN10</t>
  </si>
  <si>
    <t>CODO PE 45 315MM TERMOENSAMBL PE100 PN16</t>
  </si>
  <si>
    <t>CODO PE 90 315MM TERMOENSAMBL PE100 PN10</t>
  </si>
  <si>
    <t>TEE PE 250MM TERMOENSAMBLADA PE100 PN10</t>
  </si>
  <si>
    <t>TEE PE 250MM TERMOENSAMBLADA PE100 PN16</t>
  </si>
  <si>
    <t>CODO PE PRE 45 75MM TF PN16</t>
  </si>
  <si>
    <t>CODO PE PRE 90 75MM TF PN16</t>
  </si>
  <si>
    <t>RED PE PRE 75X63MM PN16 TERMF</t>
  </si>
  <si>
    <t>CODO PE 45 400MM TERMOENSAMBL PE100 PN10</t>
  </si>
  <si>
    <t>CODO PE 45 400MMTERMOENSAPE100PN16 (BLQ)</t>
  </si>
  <si>
    <t>CODO PE 90 400MM TERMOENSAMBL PE100 PN10</t>
  </si>
  <si>
    <t>CODO PE 90 400MM TERMOENSAMBL PE100 PN16</t>
  </si>
  <si>
    <t>SUMIDERO SAVE 45 I (BLQ)</t>
  </si>
  <si>
    <t>REJA VIA PROPELER (BLQ)</t>
  </si>
  <si>
    <t>REJA ANDEN PROPELER (BLQ)</t>
  </si>
  <si>
    <t>REDUCCION 160X125MM SS</t>
  </si>
  <si>
    <t>CODO PE 45 200MM TERMOENSAMBL PE100 PN10</t>
  </si>
  <si>
    <t>CODO PE 45 200MM TERMOENSAMBL PE100 PN16</t>
  </si>
  <si>
    <t>CODO PE 90 200MM TERMOENSAMBL PE100 PN10</t>
  </si>
  <si>
    <t>CODO PE 90 250MM TERMOENSAMBL PE100 PN10</t>
  </si>
  <si>
    <t>CODO PE 90 250MM TERMOENSAMBL PE100 PN16</t>
  </si>
  <si>
    <t>TEE PE 200MM TERMOENSAMBLADA PE100 PN10</t>
  </si>
  <si>
    <t>TEE PE 200MM TERMOENSAMBLADA PE100 PN16</t>
  </si>
  <si>
    <t>RED PE PRE 400X315MM PN10 TERMF (BLQ)</t>
  </si>
  <si>
    <t>BUJE 3X2 SOLD CPVC SCH80</t>
  </si>
  <si>
    <t>BUJE 4X3 SOLD CPVC SCH80</t>
  </si>
  <si>
    <t>CODO 45 3 CPVC SCH80</t>
  </si>
  <si>
    <t>CODO 45 4 CPVC SCH80</t>
  </si>
  <si>
    <t>UNION ALC S4 PLUS 898MM(36) NOVAFORT</t>
  </si>
  <si>
    <t>UNION ALC S4 975MM(39) NOVAFORT</t>
  </si>
  <si>
    <t>ADAPT ROS HEM 1/2 ROSCA METAL HOTPRO</t>
  </si>
  <si>
    <t>ADAPT ROS HEM 3/4 ROSCA METAL HOTPRO</t>
  </si>
  <si>
    <t>ADAPT ROS HEM 1 ROSCA METAL HOTPRO</t>
  </si>
  <si>
    <t>ADAPT ROS HEM 1.1/4 ROSCA META HOTPRO</t>
  </si>
  <si>
    <t>ADAPT ROS HEM 1.1/2 ROSCA META HOTPRO</t>
  </si>
  <si>
    <t>ADAPT ROS HEM 2 ROSCA METAL HOTPRO</t>
  </si>
  <si>
    <t>ADAPT ROS MACH 1/2 ROSCA METAL HOTPRO</t>
  </si>
  <si>
    <t>ADAPT ROS MACH 3/4 ROSCA METAL HOTPRO</t>
  </si>
  <si>
    <t>ADAPT ROS MACH 1 ROSCA METAL HOTPRO</t>
  </si>
  <si>
    <t>ADAPT ROS MACH 1.1/4 ROSC META HOTPRO</t>
  </si>
  <si>
    <t>ADAPT ROS MACH 1.1/2 ROSC META HOTPRO</t>
  </si>
  <si>
    <t>ADAPT ROS MACH 2 ROSCA METAL HOTPRO</t>
  </si>
  <si>
    <t>UNION ALC S4 1051MM(42) NOVAFORT</t>
  </si>
  <si>
    <t>YEE RED ALC 200X160MM NOVAFORT (C)</t>
  </si>
  <si>
    <t>ADAPT TERM CONDUIT 1/2 PREPIC - 230 UN</t>
  </si>
  <si>
    <t>ADAPT TERM CONDUIT 3/4 PREPIC - 400 UN</t>
  </si>
  <si>
    <t>ADAPT TERM CONDUIT 1 PREPIC - 130 UN</t>
  </si>
  <si>
    <t>ADAPT TERM CONDUIT 1.1/4 PREPIC - 40 UN</t>
  </si>
  <si>
    <t>ADAPT TERM CONDUIT 1.1/2 PREPIC - 25 UN</t>
  </si>
  <si>
    <t>ADAPT TERM CONDUIT 2 PREPIC - 20 UN</t>
  </si>
  <si>
    <t>ADAPT TERM CONDUIT 1/2 PROPAC - 600 UN</t>
  </si>
  <si>
    <t>CAJA CONDUIT SENC PROPAC - 170 UN</t>
  </si>
  <si>
    <t>CURVA CONDUIT 90 1/2 PPAC - 220 UN</t>
  </si>
  <si>
    <t>CURVA CONDUIT 90 1/2 PREPIC - 230 UN</t>
  </si>
  <si>
    <t>CURVA CONDUIT 90 3/4 PREPIC - 100 UN</t>
  </si>
  <si>
    <t>CURVA CONDUIT 90 1 PREPIC - 60 UN</t>
  </si>
  <si>
    <t>CURVA CONDUIT 90 1.1/4 PREPIC - 35 UN</t>
  </si>
  <si>
    <t>CURVA CONDUIT 90 1.1/2 PREPIC - 20 UN</t>
  </si>
  <si>
    <t>CURVA CONDUIT 90 2 PREPIC - 8 UN</t>
  </si>
  <si>
    <t>SUPLEM CAJA CONDUIT PREPIC - 100UN</t>
  </si>
  <si>
    <t>TAPA CONDUIT DOBLE PREPIC - 60 UN</t>
  </si>
  <si>
    <t>UNION CONDUIT 1/2 PREPIC - 200 UN</t>
  </si>
  <si>
    <t>UNION CONDUIT 3/4 PREPIC - 150 UN</t>
  </si>
  <si>
    <t>UNION CONDUIT 1 PREPIC - 50 UN</t>
  </si>
  <si>
    <t>CAJA CONDUIT DOBLE PREPIC - 70 UN</t>
  </si>
  <si>
    <t>CAJA CONDUIT OCTOGONAL PREPIC - 90 UN</t>
  </si>
  <si>
    <t>TB LISO 1/2 CPVC SCH80 5.795M (19PIES)</t>
  </si>
  <si>
    <t>TB LISO 3/4 CPVC SCH80 5.795M (19PIES)</t>
  </si>
  <si>
    <t>TB LISO 1 CPVC SCH80 5.795M (19PIES)</t>
  </si>
  <si>
    <t>TB LISO 1.1/4 CPVC SCH80 5.795M (19PIES)</t>
  </si>
  <si>
    <t>TB LISO 1.1/2 CPVC SCH80 5.795M (19PIES)</t>
  </si>
  <si>
    <t>TB LISO 2 CPVC SCH80 5.795M (19PIES)</t>
  </si>
  <si>
    <t>ADAPT ROS HEM 1/2 CPVC SCH80</t>
  </si>
  <si>
    <t>ADAPT ROS HEM 3/4 CPVC SCH80</t>
  </si>
  <si>
    <t>ADAPT ROS HEM 1 CPVC SCH80</t>
  </si>
  <si>
    <t>ADAPT ROS HEM 1.1/4 CPVC SCH80</t>
  </si>
  <si>
    <t>ADAPT ROS HEM 1.1/2 CPVC SCH80</t>
  </si>
  <si>
    <t>ADAPT ROS HEM 2 CPVC SCH80</t>
  </si>
  <si>
    <t>ADAPT ROS HEM 2.1/2 CPVC SCH80</t>
  </si>
  <si>
    <t>ADAPT ROS HEM 3 CPVC SCH80</t>
  </si>
  <si>
    <t>ADAPT ROS HEM 4 CPVC SCH80</t>
  </si>
  <si>
    <t>ADAPT ROS MACH 3/4 CPVC SCH80</t>
  </si>
  <si>
    <t>ADAPT ROS MACH 1 CPVC SCH80</t>
  </si>
  <si>
    <t>ADAPT ROS MACH 1.1/4 CPVC SCH80</t>
  </si>
  <si>
    <t>ADAPT ROS MACH 2.1/2 CPVC SCH80</t>
  </si>
  <si>
    <t>ADAPT ROS MACH 3 CPVC SCH80</t>
  </si>
  <si>
    <t>ADAPT ROS MACH 4 CPVC SCH80</t>
  </si>
  <si>
    <t>BRIDA AJUSTABLE 1.1/2 CPVC SCH80</t>
  </si>
  <si>
    <t>BRIDA AJUSTABLE 2 CPVC SCH80</t>
  </si>
  <si>
    <t>BRIDA AJUSTABLE 2.1/2 CPVC SCH80</t>
  </si>
  <si>
    <t>BRIDA AJUSTABLE 3 CPVC SCH80</t>
  </si>
  <si>
    <t>BRIDA AJUSTABLE 4 CPVC SCH80</t>
  </si>
  <si>
    <t>BRIDA AJUSTABLE 6 CPVC SCH80</t>
  </si>
  <si>
    <t>BUJE 3/4X1/2 SOLD CPVC SCH80</t>
  </si>
  <si>
    <t>BUJE 1X3/4 SOLD CPVC SCH80</t>
  </si>
  <si>
    <t>BUJE 1.1/4X1/2 SOLD CPVC SCH80</t>
  </si>
  <si>
    <t>BUJE 1.1/4X3/4 SOLD CPVC SCH80</t>
  </si>
  <si>
    <t>BUJE 1.1/4X1 SOLD CPVC SCH80</t>
  </si>
  <si>
    <t>BUJE 1.1/2X1/2 SOLD CPVC SCH80</t>
  </si>
  <si>
    <t>BUJE 1.1/2X3/4 SOLD CPVC SCH80</t>
  </si>
  <si>
    <t>BUJE 1.1/2X1 SOLD CPVC SCH80</t>
  </si>
  <si>
    <t>BUJE 1.1/2X1.1/4 SOLD CPVC SCH80</t>
  </si>
  <si>
    <t>BUJE 2X1/2 SOLD CPVC SCH80</t>
  </si>
  <si>
    <t>BUJE 2X3/4 SOLD CPVC SCH80</t>
  </si>
  <si>
    <t>BUJE 2X1 SOLD CPVC SCH80</t>
  </si>
  <si>
    <t>BUJE 2X1.1/4 SOLD CPVC SCH80</t>
  </si>
  <si>
    <t>BUJE 2.1/2X2 SOLD CPVC SCH80</t>
  </si>
  <si>
    <t>BUJE 6X4 SOLD CPVC SCH80</t>
  </si>
  <si>
    <t>CODO 45 1/2 CPVC SCH80</t>
  </si>
  <si>
    <t>CODO 45 3/4 CPVC SCH80</t>
  </si>
  <si>
    <t>CODO 45 1 CPVC SCH80</t>
  </si>
  <si>
    <t>CODO 45 1.1/4 CPVC SCH80</t>
  </si>
  <si>
    <t>CODO 45 1.1/2 CPVC SCH80</t>
  </si>
  <si>
    <t>CODO 45 2 CPVC SCH80</t>
  </si>
  <si>
    <t>CODO 45 2.1/2 CPVC SCH80</t>
  </si>
  <si>
    <t>CODO 45 6 CPVC SCH80</t>
  </si>
  <si>
    <t>CODO 90 1/2 CPVC SCH80</t>
  </si>
  <si>
    <t>CODO 90 3/4 CPVC SCH80</t>
  </si>
  <si>
    <t>CODO 90 1 CPVC SCH80</t>
  </si>
  <si>
    <t>CODO 90 1.1/4 CPVC SCH80</t>
  </si>
  <si>
    <t>CODO 90 1.1/2 CPVC SCH80</t>
  </si>
  <si>
    <t>CODO 90 2 CPVC SCH80</t>
  </si>
  <si>
    <t>CODO 90 6 CPVC SCH80</t>
  </si>
  <si>
    <t>TAPON 1/2 SOLD CPVC SCH80</t>
  </si>
  <si>
    <t>TAPON 3/4 SOLD CPVC SCH80</t>
  </si>
  <si>
    <t>TAPON 1 SOLD CPVC SCH80</t>
  </si>
  <si>
    <t>TAPON 1.1/4 SOLD CPVC SCH80</t>
  </si>
  <si>
    <t>TAPON 1.1/2 SOLD CPVC SCH80</t>
  </si>
  <si>
    <t>TAPON 2 SOLD CPVC SCH80</t>
  </si>
  <si>
    <t>TAPON 6 SOLD CPVC SCH80</t>
  </si>
  <si>
    <t>TEE 1/2 CPVC SCH80</t>
  </si>
  <si>
    <t>TEE 3/4 CPVC SCH80</t>
  </si>
  <si>
    <t>TEE 1 CPVC SCH80</t>
  </si>
  <si>
    <t>TEE 1.1/4 CPVC SCH80</t>
  </si>
  <si>
    <t>TEE 1.1/2 CPVC SCH80</t>
  </si>
  <si>
    <t>TEE 2 CPVC SCH80</t>
  </si>
  <si>
    <t>TEE 6 CPVC SCH80</t>
  </si>
  <si>
    <t>UNION 1/2 CPVC SCH80</t>
  </si>
  <si>
    <t>UNION 3/4 CPVC SCH80</t>
  </si>
  <si>
    <t>UNION 1 CPVC SCH80</t>
  </si>
  <si>
    <t>UNION 1.1/4 CPVC SCH80</t>
  </si>
  <si>
    <t>UNION 1.1/2 CPVC SCH80</t>
  </si>
  <si>
    <t>UNION 2 CPVC SCH80</t>
  </si>
  <si>
    <t>UNION 6 CPVC SCH80</t>
  </si>
  <si>
    <t>UNION UNIVERSAL 1/2 CPVC SCH80</t>
  </si>
  <si>
    <t>UNION UNIVERSAL 3/4 CPVC SCH80</t>
  </si>
  <si>
    <t>UNION UNIVERSAL 1 CPVC SCH80</t>
  </si>
  <si>
    <t>UNION UNIVERSAL 1.1/4 CPVC SCH80</t>
  </si>
  <si>
    <t>UNION UNIVERSAL 1.1/2 CPVC SCH80</t>
  </si>
  <si>
    <t>UNION UNIVERSAL 2 CPVC SCH80</t>
  </si>
  <si>
    <t>TB LISO 6 CPVC SCH80 5.795M (19PIES)</t>
  </si>
  <si>
    <t>TB LISO 1.1/4 PRES GRIS SCH80 6.1M-20PIE</t>
  </si>
  <si>
    <t>TB LISO 1.1/2 PRES GRIS SCH80 6.1M-20PIE</t>
  </si>
  <si>
    <t>TB LISO 2 PRES GRIS SCH80 6.1M (20PIES)</t>
  </si>
  <si>
    <t>TB LISO 2.1/2 PRES GRIS SCH80 6.1M-20PIE</t>
  </si>
  <si>
    <t>TB LISO 3 PRES GRIS SCH80 6.1M (20PIES)</t>
  </si>
  <si>
    <t>TB LISO 4 PRES GRIS SCH80 6.1M (20PIES)</t>
  </si>
  <si>
    <t>TB LISO 6 PRES GRIS SCH80 6.1M (20PIES)</t>
  </si>
  <si>
    <t>TB LISO 8 PRES GRIS SCH80 6.1M (20PIES)</t>
  </si>
  <si>
    <t>ADAPT ROS HEM 1.1/4 PVC GRIS SCH80</t>
  </si>
  <si>
    <t>ADAPT ROS HEM 1.1/2 PVC GRIS SCH80</t>
  </si>
  <si>
    <t>ADAPT ROS HEM 2.1/2 PVC GRIS SCH80</t>
  </si>
  <si>
    <t>ADAPT ROS HEM 3 PVC GRIS SCH80</t>
  </si>
  <si>
    <t>ADAPT ROS HEM 4 PVC GRIS SCH80</t>
  </si>
  <si>
    <t>ADAPT ROS MACH 1.1/4 PVC GRIS SCH80</t>
  </si>
  <si>
    <t>ADAPT ROS MACH 1.1/2 PVC GRIS SCH80</t>
  </si>
  <si>
    <t>ADAPT ROS MACH 2 PVC GRIS SCH80</t>
  </si>
  <si>
    <t>ADAPT ROS MACH 2.1/2 PVC GRIS SCH80</t>
  </si>
  <si>
    <t>ADAPT ROS MACH 3 PVC GRIS SCH80</t>
  </si>
  <si>
    <t>ADAPT ROS MACH 4 PVC GRIS SCH80</t>
  </si>
  <si>
    <t>BRIDA AJUSTABLE 1.1/2 PVC GRIS SCH80</t>
  </si>
  <si>
    <t>BRIDA AJUSTABLE 2 PVC GRIS SCH80</t>
  </si>
  <si>
    <t>BUJE 1.1/4X1/2 SOLD PVC GRIS SCH80</t>
  </si>
  <si>
    <t>BUJE 1.1/4X3/4 SOLD PVC GRIS SCH80</t>
  </si>
  <si>
    <t>BUJE 1.1/4X1 SOLD PVC GRIS SCH80</t>
  </si>
  <si>
    <t>BUJE 1.1/2X1/2 SOLD PVC GRIS SCH80</t>
  </si>
  <si>
    <t>BUJE 1.1/2X3/4 SOLD PVC GRIS SCH80</t>
  </si>
  <si>
    <t>BUJE 1.1/2X1 SOLD PVC GRIS SCH80</t>
  </si>
  <si>
    <t>BUJE 1.1/2X1.1/4 SOLD PVC GRIS SCH80</t>
  </si>
  <si>
    <t>BUJE 2X1/2 SOLD PVC GRIS SCH80</t>
  </si>
  <si>
    <t>BUJE 2X3/4 SOLD PVC GRIS SCH80</t>
  </si>
  <si>
    <t>BUJE 2X1 SOLD PVC GRIS SCH80</t>
  </si>
  <si>
    <t>BUJE 2X1.1/4 SOLD PVC GRIS SCH80</t>
  </si>
  <si>
    <t>BUJE 2X1.1/2 SOLD PVC GRIS SCH80</t>
  </si>
  <si>
    <t>BUJE 2.1/2X1 SOLD PVC GRIS SCH80</t>
  </si>
  <si>
    <t>BUJE 2.1/2X1.1/4 SOLD PVC GRIS SCH80</t>
  </si>
  <si>
    <t>BUJE 2.1/2X1.1/2 SOLD PVC GRIS SCH80</t>
  </si>
  <si>
    <t>BUJE 2.1/2X2 SOLD PVC GRIS SCH80</t>
  </si>
  <si>
    <t>BUJE 3X1 SOLD PVC GRIS SCH80</t>
  </si>
  <si>
    <t>BUJE 3X1.1/4 SOLD PVC GRIS SCH80</t>
  </si>
  <si>
    <t>BUJE 3X1.1/2 SOLD PVC GRIS SCH80</t>
  </si>
  <si>
    <t>BUJE 3X2 SOLD PVC GRIS SCH80</t>
  </si>
  <si>
    <t>BUJE 3X2.1/2 SOLD PVC GRIS SCH80</t>
  </si>
  <si>
    <t>BUJE 4X2 SOLD PVC GRIS SCH80</t>
  </si>
  <si>
    <t>BUJE 4X3 SOLD PVC GRIS SCH80</t>
  </si>
  <si>
    <t>BUJE 6X3 SOLD PVC GRIS SCH80</t>
  </si>
  <si>
    <t>BUJE 8X6 SOLD PVC GRIS SCH80</t>
  </si>
  <si>
    <t>CODO 45 1.1/4 PVC GRIS SCH80</t>
  </si>
  <si>
    <t>CODO 45 1.1/2 PVC GRIS SCH80</t>
  </si>
  <si>
    <t>CODO 45 2 PVC GRIS SCH80</t>
  </si>
  <si>
    <t>CODO 45 2.1/2 PVC GRIS SCH80</t>
  </si>
  <si>
    <t>CODO 45 3 PVC GRIS SCH80</t>
  </si>
  <si>
    <t>CODO 45 4 PVC GRIS SCH80</t>
  </si>
  <si>
    <t>CODO 45 8 PVC GRIS SCH80</t>
  </si>
  <si>
    <t>CODO 90 1.1/4 PVC GRIS SCH80</t>
  </si>
  <si>
    <t>CODO 90 1.1/2 PVC GRIS SCH80</t>
  </si>
  <si>
    <t>CODO 90 2 PVC GRIS SCH80</t>
  </si>
  <si>
    <t>CODO 90 2.1/2 PVC GRIS SCH80</t>
  </si>
  <si>
    <t>CODO 90 3 PVC GRIS SCH80</t>
  </si>
  <si>
    <t>CODO 90 4 PVC GRIS SCH80</t>
  </si>
  <si>
    <t>CODO 90 8 PVC GRIS SCH80</t>
  </si>
  <si>
    <t>TAPON 1.1/4 SOLD PVC GRIS SCH80</t>
  </si>
  <si>
    <t>TAPON 1.1/2 SOLD PVC GRIS SCH80</t>
  </si>
  <si>
    <t>TAPON 2 SOLD PVC GRIS SCH80</t>
  </si>
  <si>
    <t>TAPON 2.1/2 SOLD PVC GRIS SCH80</t>
  </si>
  <si>
    <t>TAPON 3 SOLD PVC GRIS SCH80</t>
  </si>
  <si>
    <t>TAPON 4 SOLD PVC GRIS SCH80</t>
  </si>
  <si>
    <t>TAPON 8 SOLD PVC GRIS SCH80</t>
  </si>
  <si>
    <t>TEE 1.1/4 PVC GRIS SCH80</t>
  </si>
  <si>
    <t>TEE 1.1/2 PVC GRIS SCH80</t>
  </si>
  <si>
    <t>TEE 2 PVC GRIS SCH80</t>
  </si>
  <si>
    <t>TEE 2.1/2 PVC GRIS SCH80</t>
  </si>
  <si>
    <t>TEE 3 PVC GRIS SCH80</t>
  </si>
  <si>
    <t>TEE 4 PVC GRIS SCH80</t>
  </si>
  <si>
    <t>TEE 8 PVC GRIS SCH80</t>
  </si>
  <si>
    <t>UNION 1.1/4 PVC GRIS SCH80</t>
  </si>
  <si>
    <t>UNION 1.1/2 PVC GRIS SCH80</t>
  </si>
  <si>
    <t>UNION 2 PVC GRIS SCH80</t>
  </si>
  <si>
    <t>UNION 2.1/2 PVC GRIS SCH80</t>
  </si>
  <si>
    <t>UNION 3 PVC GRIS SCH80</t>
  </si>
  <si>
    <t>UNION 4 PVC GRIS SCH80</t>
  </si>
  <si>
    <t>UNION 8 PVC GRIS SCH80</t>
  </si>
  <si>
    <t>UNION UNIVERSAL 1.1/4 PVC GRIS SCH80</t>
  </si>
  <si>
    <t>UNION UNIVERSAL 1.1/2 PVC GRIS SCH80</t>
  </si>
  <si>
    <t>UNION UNIVERSAL 2 PVC GRIS SCH80</t>
  </si>
  <si>
    <t>TB CONDUIT LISO 1 GRIS SCH40 3M - 14 UN</t>
  </si>
  <si>
    <t>TB CONDUIT LISO 1.1/2 GRIS SCH40 3M-10UN</t>
  </si>
  <si>
    <t>TB CONDUIT LISO 1.1/4 GRIS SCH40 3M-10UN</t>
  </si>
  <si>
    <t>TB CONDUIT LISO 1/2 GRIS SCH40 3M - 24UN</t>
  </si>
  <si>
    <t>TB CONDUIT LISO 2 GRIS SCH40 3M</t>
  </si>
  <si>
    <t>TB CONDUIT LISO 3/4 GRIS SCH40 3M - 24UN</t>
  </si>
  <si>
    <t>CURVA CONDUIT 90 1 GRIS SCH40 - 50 UN</t>
  </si>
  <si>
    <t>CURVA CONDUIT 90 1.1/2 GRIS SCH40-25 UN</t>
  </si>
  <si>
    <t>CURVA CONDUIT 90 1.1/4 GRIS SCH40-50 UN</t>
  </si>
  <si>
    <t>CURVA CONDUIT 90 1/2 GRIS SCH40 - 200 UN</t>
  </si>
  <si>
    <t>CURVA CONDUIT 90 2 GRIS SCH40 - 15 UN</t>
  </si>
  <si>
    <t>CURVA CONDUIT 90 3/4 GRIS SCH40 - 100 UN</t>
  </si>
  <si>
    <t>TAPON QS FABRIC MAN 100MM</t>
  </si>
  <si>
    <t>TAPON QS FABRIC MAN 125MM</t>
  </si>
  <si>
    <t>TAPON QS FABRIC MAN 160MM</t>
  </si>
  <si>
    <t>SILLA YEE ALC INY 315X160MM NOVAFORT</t>
  </si>
  <si>
    <t>SILLA YEE ALC INY 400X160MM NOVAFORT</t>
  </si>
  <si>
    <t>KIT SILLA YEE ALC INY 315X160MM S8 NOVAF</t>
  </si>
  <si>
    <t>KIT SILLA YEE ALCINY 315X160MM PLS4 NOVA</t>
  </si>
  <si>
    <t>GRIFO ALTO COCINA BCO 1/2 CIERRECERAMICO</t>
  </si>
  <si>
    <t>GRIFO ALTO COCINA CROMO 1/2</t>
  </si>
  <si>
    <t>GRIFO ALTO COCINA BCO 1/2</t>
  </si>
  <si>
    <t>GRIFO ALTO LAVAMANO CROMO 1/2 CIERRCERAM</t>
  </si>
  <si>
    <t>GRIFO ALTO LAVAMANO BCO 1/2</t>
  </si>
  <si>
    <t>GRIFO BAJO LAVAMANO BCO 1/2</t>
  </si>
  <si>
    <t>GRIFO LAVADERO BCO 1/2</t>
  </si>
  <si>
    <t>REPUESTO UNIVERSAL GRIFERIA</t>
  </si>
  <si>
    <t>LLAVE DE PASO DUCHA BCO 1/2</t>
  </si>
  <si>
    <t>DUCHA BCO</t>
  </si>
  <si>
    <t>UNION REP ALC 200MM(8) NOVAFORT</t>
  </si>
  <si>
    <t>TAPON QS FABRIC MAN 80MM</t>
  </si>
  <si>
    <t>ADAPT LIMPIEZA SAN 2 PREPIC - 15 UN</t>
  </si>
  <si>
    <t>ADAPT LIMPIEZA SAN 3 PREPIC - 9 UN</t>
  </si>
  <si>
    <t>ADAPT LIMPIEZA SAN 4 PREPIC - 4 UN</t>
  </si>
  <si>
    <t>ADAPT LIMPIEZA SAN 6 PREPIC - 5 UN</t>
  </si>
  <si>
    <t>BUJE SAN 2X1.1/2 SOLD PREPIC - 80 UN</t>
  </si>
  <si>
    <t>BUJE SAN 3X1.1/2 SOLD PREPIC - 30 UN</t>
  </si>
  <si>
    <t>BUJE SAN 3X2 SOLD PREPIC - 60 UN</t>
  </si>
  <si>
    <t>BUJE SAN 4X2 SOLD PREPIC - 20 UN</t>
  </si>
  <si>
    <t>BUJE SAN 4X3 SOLD PREPIC - 20 UN</t>
  </si>
  <si>
    <t>BUJE SAN 6X4 SOLD PREPIC - 8 UN</t>
  </si>
  <si>
    <t>CODO SAN REVENT 3X2 PREPIC - 8 UN</t>
  </si>
  <si>
    <t>CODO SAN REVENT 4X2 PREPIC - 4 UN</t>
  </si>
  <si>
    <t>CODO SAN 22.1/2 2 CXC PREPIC - 15 UN</t>
  </si>
  <si>
    <t>CODO SAN 22.1/2 2 CXE PREPIC - 15 UN</t>
  </si>
  <si>
    <t>CODO SAN 22.1/2 3 CXC PREPIC - 6 UN</t>
  </si>
  <si>
    <t>CODO SAN 22.1/2 3 CXE PREPIC - 6 UN</t>
  </si>
  <si>
    <t>CODO SAN 45 1.1/2 CXC PREPIC - 35 UN</t>
  </si>
  <si>
    <t>CODO SAN 45 1.1/2 CXE PREPIC - 20 UN</t>
  </si>
  <si>
    <t>CODO SAN 45 2 CXC PREPIC - 100 UN</t>
  </si>
  <si>
    <t>CODO SAN 45 2 CXE PREPIC - 15 UN</t>
  </si>
  <si>
    <t>CODO SAN 45 3 CXC PREPIC - 45 UN</t>
  </si>
  <si>
    <t>CODO SAN 45 3 CXE PREPIC - 10 UN</t>
  </si>
  <si>
    <t>CODO SAN 45 4 CXC PREPIC - 20 UN</t>
  </si>
  <si>
    <t>CODO SAN 45 4 CXE PREPIC - 8 UN</t>
  </si>
  <si>
    <t>CODO SAN 45 6 CXC PREPIC - 5 UN</t>
  </si>
  <si>
    <t>CODO SAN 90 1.1/2 CXC PREPIC - 160 UN</t>
  </si>
  <si>
    <t>CODO SAN 90 1.1/2 CXE PREPIC - 18 UN</t>
  </si>
  <si>
    <t>CODO SAN 90 2 CXC PREPIC - 100 UN</t>
  </si>
  <si>
    <t>CODO SAN 90 2 CXE PREPIC - 100 UN</t>
  </si>
  <si>
    <t>CODO SAN 90 3 CXC PREPIC - 30 UN</t>
  </si>
  <si>
    <t>CODO SAN 90 3 CXE PREPIC - 12 UN</t>
  </si>
  <si>
    <t>CODO SAN 90 4 CXC PREPIC - 12 UN</t>
  </si>
  <si>
    <t>CODO SAN 90 4 CXE PREPIC - 5 UN</t>
  </si>
  <si>
    <t>CODO SAN 90 2 CXC PROPAC - 90 UN</t>
  </si>
  <si>
    <t>CODO SAN 90 3 CXC PROPAC - 25 UN</t>
  </si>
  <si>
    <t>JUNTA EXPANSION SAN 3 PREPIC - 6 UN</t>
  </si>
  <si>
    <t>JUNTA EXPANSION SAN 4 PREPIC - 6 UN</t>
  </si>
  <si>
    <t>SIFON SAN 180 2 PREPIC - 55 UN</t>
  </si>
  <si>
    <t>SIFON SAN 135 3 PREPIC - 8 UN</t>
  </si>
  <si>
    <t>SIFON SAN 135 4 PREPIC - 6 UN</t>
  </si>
  <si>
    <t>SIFON SAN 180 LIMPIEZA 1.1/2 PREPIC-15UN</t>
  </si>
  <si>
    <t>SIFON SAN 180 LIMPIEZA 2 PREPIC - 10 UN</t>
  </si>
  <si>
    <t>TAPON PRUEBA SAN 1.1/2 PREPIC - 40 UN</t>
  </si>
  <si>
    <t>TAPON PRUEBA SAN 2 PREPIC - 50 UN</t>
  </si>
  <si>
    <t>TAPON PRUEBA SAN 3 PREPIC - 30 UN</t>
  </si>
  <si>
    <t>TAPON PRUEBA SAN 4 PREPIC - 15 UN</t>
  </si>
  <si>
    <t>TEE SAN 1.1/2 PREPIC - 30 UN</t>
  </si>
  <si>
    <t>TEE SAN 2 PREPIC - 25 UN</t>
  </si>
  <si>
    <t>TEE SAN 3 PREPIC - 22 UN</t>
  </si>
  <si>
    <t>TEE SAN 4 PREPIC - 8 UN</t>
  </si>
  <si>
    <t>TEE DOBLE SAN 3 PREPIC - 6 UN</t>
  </si>
  <si>
    <t>TEE DOBLE SAN 4 PREPIC - 6 UN</t>
  </si>
  <si>
    <t>TEE RED SAN 2X1.1/2 PREPIC - 8 UN</t>
  </si>
  <si>
    <t>TEE RED SAN 3X2 PREPIC - 10 UN</t>
  </si>
  <si>
    <t>TEE RED SAN 4X2 PREPIC - 7 UN</t>
  </si>
  <si>
    <t>TEE RED SAN 4X3 PREPIC - 5 UN</t>
  </si>
  <si>
    <t>UNION SAN 1.1/2 PREPIC - 40 UN</t>
  </si>
  <si>
    <t>UNION SAN 2 PREPIC - 80 UN</t>
  </si>
  <si>
    <t>UNION SAN 3 PREPIC - 70 UN</t>
  </si>
  <si>
    <t>UNION SAN 4 PREPIC - 30 UN</t>
  </si>
  <si>
    <t>UNION SAN 6 PREPIC - 5 UN</t>
  </si>
  <si>
    <t>UNION SAN 2 PROPAC - 100 UN</t>
  </si>
  <si>
    <t>UNION SAN 3 PROPAC - 30 UN</t>
  </si>
  <si>
    <t>YEE SAN 2 PREPIC - 25 UN</t>
  </si>
  <si>
    <t>YEE SAN 3 PREPIC - 8 UN</t>
  </si>
  <si>
    <t>YEE SAN 4 PREPIC - 7 UN</t>
  </si>
  <si>
    <t>YEE DOBLE SAN 4 PREPIC - 6 UN</t>
  </si>
  <si>
    <t>YEE DOBLE RED SAN 4X2 PREPIC - 5 UN</t>
  </si>
  <si>
    <t>YEE RED SAN 3X2 PREPIC - 10 UN</t>
  </si>
  <si>
    <t>YEE RED SAN 4X2 PREPIC - 6  UN</t>
  </si>
  <si>
    <t>YEE RED SAN 4X3 PREPIC - 4 UN</t>
  </si>
  <si>
    <t>CINTA SELLA PREM ROSCA PSA 12MMX12M-12RO</t>
  </si>
  <si>
    <t>CINTA SELLA PREM ROSCA PSA 18MMX20M-6 RO</t>
  </si>
  <si>
    <t>ADAPT ROS HEM 3/4 PREPIC - 80 UN</t>
  </si>
  <si>
    <t>ADAPT ROS HEM 1 PREPIC - 40 UN</t>
  </si>
  <si>
    <t>ADAPT ROS HEM 1.1/4 PREPIC - 25 UN</t>
  </si>
  <si>
    <t>ADAPT ROS HEM 1.1/2 PREPIC - 20 UN</t>
  </si>
  <si>
    <t>ADAPT ROS HEM 2 PREPIC - 10 UN</t>
  </si>
  <si>
    <t>ADAPT ROSC MACHO 1/2 PROPAC - 1000 UN</t>
  </si>
  <si>
    <t>ADAPT ROS MACH 1/2 PREPIC - 500 UN</t>
  </si>
  <si>
    <t>ADAPT ROS MACH 3/4 PREPIC - 100 UN</t>
  </si>
  <si>
    <t>ADAPT ROS MACH 1.1/4 PREPIC - 30 UN</t>
  </si>
  <si>
    <t>ADAPT ROS MACH 1.1/2 PREPIC - 50 UN</t>
  </si>
  <si>
    <t>ADAPT ROS MACH 2 PREPIC - 15 UN</t>
  </si>
  <si>
    <t>BUJE PRE 3/4X1/2 SOLD PREPIC - 200 UN</t>
  </si>
  <si>
    <t>BUJE PRE 1X1/2 SOLD PREPIC - 100 UN</t>
  </si>
  <si>
    <t>BUJE PRE 1X3/4 SOLD PREPIC - 100 UN</t>
  </si>
  <si>
    <t>BUJE PRE 1.1/4X1/2 SOLD PREPIC - 60 UN</t>
  </si>
  <si>
    <t>BUJE PRE 1.1/4X3/4 SOLD PREPIC - 50 UN</t>
  </si>
  <si>
    <t>BUJE PRE 1.1/4X1 SOLD PREPIC - 50 UN</t>
  </si>
  <si>
    <t>BUJE PRE 1.1/2X1/2 SOLD PREPIC - 40 UN</t>
  </si>
  <si>
    <t>BUJE PRE 1.1/2X3/4 SOLD PREPIC - 40 UN</t>
  </si>
  <si>
    <t>BUJE PRE 1.1/2X1 SOLD PREPIC - 50 UN</t>
  </si>
  <si>
    <t>BUJE PRE 1.1/2X1.1/4 SOLD PREPIC - 50 UN</t>
  </si>
  <si>
    <t>BUJE PRE 2X1 SOLD PREPIC - 25 UN</t>
  </si>
  <si>
    <t>BUJE PRE 2X1.1/4 SOLD PREPIC - 20 UN</t>
  </si>
  <si>
    <t>CODO PRE 45 1/2 PREPIC - 200 UN</t>
  </si>
  <si>
    <t>CODO PRE 45 3/4 PREPIC - 60 UN</t>
  </si>
  <si>
    <t>CODO PRE 45 1 PREPIC - 35 UN</t>
  </si>
  <si>
    <t>CODO PRE 45 1.1/4 PREPIC - 20 UN</t>
  </si>
  <si>
    <t>CODO PRE 45 1.1/2 PREPIC - 15 UN</t>
  </si>
  <si>
    <t>CODO PRE 45 2 PREPIC - 8 UN</t>
  </si>
  <si>
    <t>CODO PRE 90 1/2 PROPAC - 700 UN</t>
  </si>
  <si>
    <t>CODO PRE 90 1/2 PREPIC - 500 UN</t>
  </si>
  <si>
    <t>CODO PRE 90 3/4 PREPIC - 150 UN</t>
  </si>
  <si>
    <t>CODO PRE 90 1 PREPIC - 150 UN</t>
  </si>
  <si>
    <t>CODO PRE 90 1.1/4 PREPIC - 30 UN</t>
  </si>
  <si>
    <t>CODO PRE 90 1/2 ROSC/SOLD PREPIC - 90 UN</t>
  </si>
  <si>
    <t>TAPON PRE 1/2 ROSC PROPAC - 300 UN</t>
  </si>
  <si>
    <t>TAPON PRE 1/2 ROSC PREPIC - 250 UN</t>
  </si>
  <si>
    <t>TAPON PRE 3/4 ROSC PREPIC - 120 UN</t>
  </si>
  <si>
    <t>TAPON PRE 1 ROSC PREPIC - 80 UN</t>
  </si>
  <si>
    <t>TAPON PRE 1.1/4 ROSC PREPIC - 50 UN</t>
  </si>
  <si>
    <t>TAPON PRE 1.1/2 ROSC PREPIC - 25 UN</t>
  </si>
  <si>
    <t>TAPON PRE 2 ROSC PREPIC - 15 UN</t>
  </si>
  <si>
    <t>TAPON PRE 1/2 SOLD PROPAC - 200 UN</t>
  </si>
  <si>
    <t>TAPON PRE 1/2 SOLD PREPIC - 200 UN</t>
  </si>
  <si>
    <t>TAPON PRE 3/4 SOLD PREPIC - 100 UN</t>
  </si>
  <si>
    <t>TAPON PRE 1 SOLD PREPIC - 80 UN</t>
  </si>
  <si>
    <t>TAPON PRE 1.1/4 SOLD PREPIC - 40 UN</t>
  </si>
  <si>
    <t>TAPON PRE 1.1/2 SOLD PREPIC - 30 UN</t>
  </si>
  <si>
    <t>TAPON PRE 2 SOLD PREPIC - 15 UN</t>
  </si>
  <si>
    <t>TAPON PRE MACH 1/2 ROSC PREPIC - 200 UN</t>
  </si>
  <si>
    <t>TEE PRE 1/2 PROPAC - 500 UN</t>
  </si>
  <si>
    <t>TEE PRE 1/2 SCH40 PREPIC - 250 UN</t>
  </si>
  <si>
    <t>TEE PRE 3/4 SCH40 PREPIC - 50 UN</t>
  </si>
  <si>
    <t>TEE PRE 1 SCH40 PREPIC - 90 UN</t>
  </si>
  <si>
    <t>TEE PRE 1.1/4 SCH40 PREPIC - 10 UN</t>
  </si>
  <si>
    <t>TEE PRE 1.1/2 SCH40 PREPIC - 20 UN</t>
  </si>
  <si>
    <t>TEE PRE 2 SCH40 PREPIC - 10 UN</t>
  </si>
  <si>
    <t>TEE PRE 1/2 ROSC/SOLD PREPIC - 60 UN</t>
  </si>
  <si>
    <t>TEE RED PRE 3/4X1/2 SCH40 PREPIC - 30 UN</t>
  </si>
  <si>
    <t>TEE RED PRE 1X1/2 SCH40 PREPIC - 20 UN</t>
  </si>
  <si>
    <t>TEE RED PRE 1X3/4 PREPIC - 20 UN</t>
  </si>
  <si>
    <t>UNION PRE 1/2 PROPAC - 900 UN</t>
  </si>
  <si>
    <t>UNION PRE 1/2 PREPIC - 400 UN</t>
  </si>
  <si>
    <t>UNION PRE 3/4 PREPIC - 90 UN</t>
  </si>
  <si>
    <t>UNION PRE 1 PREPIC - 100 UN</t>
  </si>
  <si>
    <t>UNION PRE 1.1/4 PREPIC - 30 UN</t>
  </si>
  <si>
    <t>UNION PRE 1.1/2 PREPIC - 40 UN</t>
  </si>
  <si>
    <t>UNION PRE 2 PREPIC - 25 UN</t>
  </si>
  <si>
    <t>UNION REP PRE DESLIZANT 1/2 PREPIC-100UN</t>
  </si>
  <si>
    <t>UNION REP PRE DESLIZANTE 3/4 PREPIC-60UN</t>
  </si>
  <si>
    <t>UNION REP PRE DESLIZANTE 1 PREPIC - 40UN</t>
  </si>
  <si>
    <t>UNION PRE UNIV 1/2 PREPIC - 40 UN</t>
  </si>
  <si>
    <t>UNION PRE UNIV 3/4 PREPIC - 15 UN</t>
  </si>
  <si>
    <t>UNION PRE UNIV 1 PREPIC - 12 UN</t>
  </si>
  <si>
    <t>ENTRADA TANQUE 1/2 PLASTICO PREPIC-30 UN</t>
  </si>
  <si>
    <t>SALIDA TANQUE 1 PLASTICO PREPIC - 20 UN</t>
  </si>
  <si>
    <t>ADAPTADOR CONECTOR AQUACELL 355MM</t>
  </si>
  <si>
    <t>GRIFO PARED COCINA BCO 1/2</t>
  </si>
  <si>
    <t>GRIFO PARED COCINA CROMO 1/2</t>
  </si>
  <si>
    <t>ADAPT 2 CPVC SCH80 IPS A CPVC CTS</t>
  </si>
  <si>
    <t>TANQUE CONICO DOBLE CAPA-TAPA 500LT (C)</t>
  </si>
  <si>
    <t>TANQUE CONICO DOBLE CAPA-TAPA 1000LT (C)</t>
  </si>
  <si>
    <t>CAUCHO CONDUIT P/DBL 1/2 SCH40 1.80M</t>
  </si>
  <si>
    <t>CAUCHO CONDUIT P/DBL 3/4 SCH40 1.80M</t>
  </si>
  <si>
    <t>CAUCHO CONDUIT P/DBL 1 SCH40 1.80M</t>
  </si>
  <si>
    <t>VALV SAN ANTIRETORNO 6 PVC</t>
  </si>
  <si>
    <t>ADAPT TERM CONDUIT 3/4 PROPAC - 550U</t>
  </si>
  <si>
    <t>TB CONDUIT LISO 3/4 PPAC - 10UN</t>
  </si>
  <si>
    <t>TB RIEGO C/COMP DOBLE 10 9.17M</t>
  </si>
  <si>
    <t>ESCUDO AJUSTABLE CROMO</t>
  </si>
  <si>
    <t>ROCIAD PEND BCO 1/2QSC155F(68C)K5.6VK302</t>
  </si>
  <si>
    <t>ESCUDO AJUSTABLE BLANCO</t>
  </si>
  <si>
    <t>ROCIAD LAT CROM 1/2QSC155F(68C)K5.6VK305</t>
  </si>
  <si>
    <t>ROCIAD LATE BCO 1/2QSC155F(68C)K5.6VK305</t>
  </si>
  <si>
    <t>LLAVE PARA ROCIADOR 1/2</t>
  </si>
  <si>
    <t>ADAPTADOR CONECTOR AQUACELL 315MM</t>
  </si>
  <si>
    <t>JUNTA EXP - REP SAN 3 (2 CUERPOS) - 25UN</t>
  </si>
  <si>
    <t>TB LISO PRE 1/2 RDE9PPAC6ML-10 UN (BLQ)</t>
  </si>
  <si>
    <t>TEE RED SAN 6X4 (C) (BLQ)</t>
  </si>
  <si>
    <t>TB ALC NOVAFORT S6 595MM(24) 46PSI 6.5M</t>
  </si>
  <si>
    <t>TB ALC NOVAF S6PLUS 670MM(27) 46PSI 6.5M</t>
  </si>
  <si>
    <t>TB ALC NOVAFORT S6 747MM(30) 46PSI 6.5M</t>
  </si>
  <si>
    <t>TB ALC NOVAF S6PLUS 898MM(36) 46PSI 6.5M</t>
  </si>
  <si>
    <t>TB HEP2O 15MM 100M</t>
  </si>
  <si>
    <t>TB HEP2O 22MM 50M</t>
  </si>
  <si>
    <t>ADAPT HEMBRA HEP2O CXROS 15MMX1/2</t>
  </si>
  <si>
    <t>ADAPT HEMBRA HEP2O CXROS 22MMX3/4</t>
  </si>
  <si>
    <t>ADAPT HEMBRA HEP2O EXROS 15MMX1/2</t>
  </si>
  <si>
    <t>ADAPT HEMBRA HEP2O EXROS 22MMX3/4</t>
  </si>
  <si>
    <t>ADAPT MACHO HEP2O CXROS 15MMX1/2</t>
  </si>
  <si>
    <t>ADAPT MACHO HEP2O CXROS 22MMX3/4</t>
  </si>
  <si>
    <t>ADAPT MACHO HEP2O EXROS 15MMX1/2</t>
  </si>
  <si>
    <t>CODO 45 HEP2O CXE 15MM</t>
  </si>
  <si>
    <t>CODO 45 HEP2O CXE 22MM</t>
  </si>
  <si>
    <t>CODO 90 HEP2O CXC 15MM</t>
  </si>
  <si>
    <t>CODO 90 HEP2O CXC 22MM</t>
  </si>
  <si>
    <t>CODO 90 HEP2O CXC 28MM</t>
  </si>
  <si>
    <t>CODO ROS HEP2O CXROS 15MMX1/2</t>
  </si>
  <si>
    <t>CODO ROS HEP2O CXROS 22MMX3/4</t>
  </si>
  <si>
    <t>CASQUILLO HEP2O PARA TB 15MM</t>
  </si>
  <si>
    <t>CASQUILLO HEP2O PARA TB 22MM</t>
  </si>
  <si>
    <t>CASQUILLO HEP2O PARA TB 28MM</t>
  </si>
  <si>
    <t>MANIFOLD HEP2O 2 PUERTOS CXCXC 22MMX15MM</t>
  </si>
  <si>
    <t>MANIFOLD HEP2O 3 PUERTOS CXCXC 22MMX15MM</t>
  </si>
  <si>
    <t>RED HEP2O CXE 22X15MM</t>
  </si>
  <si>
    <t>RED HEP2O CXE 28X22MM</t>
  </si>
  <si>
    <t>TAPON DESMONTABLE HEP2O 15MM C</t>
  </si>
  <si>
    <t>TAPON DESMONTABLE HEP2O 22MM C</t>
  </si>
  <si>
    <t>TAPON DESMONTABLE HEP2O 28MM C</t>
  </si>
  <si>
    <t>TEE RED HEP2O CXCXC 15X15X22MM</t>
  </si>
  <si>
    <t>TEE RED HEP2O CXCXC 22X15X15MM</t>
  </si>
  <si>
    <t>TEE RED HEP2O CXCXC 22X15X22MM</t>
  </si>
  <si>
    <t>TEE RED HEP2O CXCXC 28X28X22MM</t>
  </si>
  <si>
    <t>TEE RED HEP2O CXCXC 22X22X15MM</t>
  </si>
  <si>
    <t>TEE RED HEP2O CXCXC 22X22X28MM</t>
  </si>
  <si>
    <t>TEE RED HEP2O CXCXC 28X22X22MM</t>
  </si>
  <si>
    <t>TEE RED HEP2O CXCXC 28X28X15MM</t>
  </si>
  <si>
    <t>TEE HEP2O CXCXC 15MM</t>
  </si>
  <si>
    <t>TEE HEP2O CXCXC 22MM</t>
  </si>
  <si>
    <t>TEE HEP2O CXCXC 28MM</t>
  </si>
  <si>
    <t>UNION HEP2O CXC 15MM</t>
  </si>
  <si>
    <t>UNION HEP2O CXC 22MM</t>
  </si>
  <si>
    <t>UNION HEP2O CXC 28MM</t>
  </si>
  <si>
    <t>VALV BOLA HEP2O CXC 15MM</t>
  </si>
  <si>
    <t>VALV BOLA HEP2O CXC 22MM</t>
  </si>
  <si>
    <t>VALV BOLA HEP2O PALANCA ROJA CXC 28MM</t>
  </si>
  <si>
    <t>LLAVE DESMONTAJE HEPKEY 15MM</t>
  </si>
  <si>
    <t>LLAVE DESMONTAJE HEPKEY 22MM</t>
  </si>
  <si>
    <t>LLAVE DESMONTAJE HEPKEY 28MM</t>
  </si>
  <si>
    <t>CURVADOR HEP2O 15MM</t>
  </si>
  <si>
    <t>CURVADOR HEP2O 22MM</t>
  </si>
  <si>
    <t>TIJERA HEP2O 15 A 28MM</t>
  </si>
  <si>
    <t>SOLDADURA APLIC PVC 1/4GAL LOW VOC (C)</t>
  </si>
  <si>
    <t>TB BAJANTE RAINMAX 100MM - 4 UN</t>
  </si>
  <si>
    <t>CINTA SELLA PREM ROSCA PSA 18MMX50M-1 RO</t>
  </si>
  <si>
    <t>CINTA SELLA PREM ROSCA PSA 24MMX50M-1 RO</t>
  </si>
  <si>
    <t>ADAP BAJANT ALCANT RAINMAX 100MMX4-10UN</t>
  </si>
  <si>
    <t>CODO BAJANTE 45  RAINMAX 100MM - 10 UN</t>
  </si>
  <si>
    <t>CODO BAJANTE 90 RAINMAX 100MM - 10 UN</t>
  </si>
  <si>
    <t>SOPORTE BAJANTE RAINMAX 100MM - 50 UN</t>
  </si>
  <si>
    <t>UNION BAJANTE RAINMAX 100MM - 25 UN</t>
  </si>
  <si>
    <t>UNION CANAL AMAZONA A BAJ 100MM - 10 UN</t>
  </si>
  <si>
    <t>ADAPT TERM CONDUI 1/2 GRIS SCH40-1.000UN</t>
  </si>
  <si>
    <t>ADAPT TERM CONDUIT 3/4 GRIS SCH40-500 UN</t>
  </si>
  <si>
    <t>ADAPT TERM CONDUIT 1 GRIS SCH40 - 200 UN</t>
  </si>
  <si>
    <t>ADAPT TERM CONDUI 1.1/4 GRIS SCH40-100UN</t>
  </si>
  <si>
    <t>ADAPT TERM CONDUI 1.1/2 GRIS SCH40-100UN</t>
  </si>
  <si>
    <t>ADAPT TERM CONDUIT 2 GRIS SCH40 - 100 UN</t>
  </si>
  <si>
    <t>UNION CONDUIT 1/2 GRIS SCH40 - 1.000 UN</t>
  </si>
  <si>
    <t>UNION CONDUIT 3/4 GRIS SCH40 - 500 UN</t>
  </si>
  <si>
    <t>UNION CONDUIT 1 GRIS SCH40 - 200 UN</t>
  </si>
  <si>
    <t>UNION CONDUIT 1.1/4 GRIS SCH40 - 100 UN</t>
  </si>
  <si>
    <t>UNION CONDUIT 1.1/2 GRIS SCH40 - 100 UN</t>
  </si>
  <si>
    <t>UNION CONDUIT 2 GRIS SCH40 - 100 UN</t>
  </si>
  <si>
    <t>TB RIEGO 1.1/2 CAMP RDE32.5 6M</t>
  </si>
  <si>
    <t>TB ALC NOVAFORT S6 823MM(33) 46PSI 6.5M</t>
  </si>
  <si>
    <t>TB ALC NOVAFORT S4 400MM(16) 6M</t>
  </si>
  <si>
    <t>BUJE SAN INY 8X6 SOLD - 5 UN</t>
  </si>
  <si>
    <t>CODO SAN INY 45 8 CXC</t>
  </si>
  <si>
    <t>CODO SAN INY 90 8 CXC</t>
  </si>
  <si>
    <t>UNION SAN INY 8</t>
  </si>
  <si>
    <t>BUJE PRE INY 6X4 SOLD GRIS SCH80</t>
  </si>
  <si>
    <t>CODO PRE INY 45 6 GRIS SCH80 - 4 UN</t>
  </si>
  <si>
    <t>CODO PRE INY 90 6 GRIS SCH80 - 3 UN</t>
  </si>
  <si>
    <t>TAPON PRE INY 6 SOLD GRIS SCH80 - 6 UN</t>
  </si>
  <si>
    <t>TEE PRE INY 6 GRIS SCH80 - 3 UN</t>
  </si>
  <si>
    <t>UNION PRE INY 6 GRIS SCH80 - 2 UN</t>
  </si>
  <si>
    <t>CAJA CONDUIT OCTOGONAL PROPAC-80UN (BLQ)</t>
  </si>
  <si>
    <t>CURVA CONDUIT 90 3/4 PPAC - 100 UN (BLQ)</t>
  </si>
  <si>
    <t>CODO PE 45 90MM TERMOENSAMBL PE100 PN10</t>
  </si>
  <si>
    <t>CODO PE 45 110MM TERMOENSAMBL PE100 PN10</t>
  </si>
  <si>
    <t>SOLD APLIC HOTPRO LOW VOC 1/4GAL - 12 UN</t>
  </si>
  <si>
    <t>SOLD APLIC HOTPRO LOW VOC 1/8GAL - 24 UN</t>
  </si>
  <si>
    <t>SOLD APLIC HOTPRO LOW VOC 1/16 GAL-36 UN</t>
  </si>
  <si>
    <t>CODO QS PVC 45 200MM CXC GRIS</t>
  </si>
  <si>
    <t>CODO QS PVC 45 200MM CXE GRIS</t>
  </si>
  <si>
    <t>CODO QS PVC 45 40MM CXC GRIS</t>
  </si>
  <si>
    <t>CODO QS PVC 45 40MM CXE GRIS</t>
  </si>
  <si>
    <t>CODO QS PVC 45 80MM CXE GRIS</t>
  </si>
  <si>
    <t>JUNTA EXPANSION QS PVC 80MM GRIS</t>
  </si>
  <si>
    <t>RED QS PVC EXC 125X80MM GRIS</t>
  </si>
  <si>
    <t>RED QS PVC EXC 80X63MM GRIS</t>
  </si>
  <si>
    <t>UNION QS PVC 125MM GRIS</t>
  </si>
  <si>
    <t>UNION QS PVC 160MM GRIS</t>
  </si>
  <si>
    <t>UNION QS PVC 200MM GRIS</t>
  </si>
  <si>
    <t>UNION QS PVC 63MM GRIS</t>
  </si>
  <si>
    <t>YEE QS PVC 200MM CAMPANA GRIS</t>
  </si>
  <si>
    <t>SOLD HOTPRO LOW VOC 1/128 - 60 UN</t>
  </si>
  <si>
    <t>SOLD HOTPRO LOW VOC 1/32GAL - 30 UN</t>
  </si>
  <si>
    <t>SOLD HOTPRO LOW VOC 1/64GAL - 30 UN</t>
  </si>
  <si>
    <t>ADAPT TRANSICION QS A PVC-U 100MM - 4</t>
  </si>
  <si>
    <t>ADAPT TRANSICION QS A PVC-U 160MM - 6</t>
  </si>
  <si>
    <t>ADAPT TRANSICION QS A PVC-U 200MM - 8</t>
  </si>
  <si>
    <t>CODO QS PVC 45 80MM CXC GRIS</t>
  </si>
  <si>
    <t>CODO QS PVC 45 160MM CXC GRIS</t>
  </si>
  <si>
    <t>CODO QS PVC 45 160MM CXE GRIS</t>
  </si>
  <si>
    <t>CODO QS PVC 45 50MM CXC GRIS</t>
  </si>
  <si>
    <t>RED QS PVC EXC 160X125MM GRIS</t>
  </si>
  <si>
    <t>UNION QS PVC 40MM GRIS</t>
  </si>
  <si>
    <t>RED QS PVC EXC 63X50MM GRIS</t>
  </si>
  <si>
    <t>UNION QS PVC 50MM GRIS</t>
  </si>
  <si>
    <t>TB ALC NOVALOC 45 3M-UNION 45</t>
  </si>
  <si>
    <t>EMBUDO CONECT QS FABRMAN 2.1/2X40MM-20UN</t>
  </si>
  <si>
    <t>EMBUDO CONECT QS FABRMAN 2.1/2X50MM-15UN</t>
  </si>
  <si>
    <t>EMBUDO CONECT QS FABRMAN 2.1/2X63MM-15UN</t>
  </si>
  <si>
    <t>EMBUDO CONECT QS FABRMAN 2.1/2X80MM-20UN</t>
  </si>
  <si>
    <t>SOLDADURA PVC LOW VOC 1/128 GAL - 60 UN</t>
  </si>
  <si>
    <t>SOLDADURA PVC LOW VOC 1/32 GAL - 30 UN</t>
  </si>
  <si>
    <t>SOLDADURA PVC LOW VOC 1/64 GAL - 30 UN</t>
  </si>
  <si>
    <t>SOLDADURA APLIC PVC LOW VOC 1/4 GAL-12UN</t>
  </si>
  <si>
    <t>SOLDADURA APLIC PVC LOW VOC 1/8 GAL-24UN</t>
  </si>
  <si>
    <t>SOLDADURA APLIC PVC LOWVOC 1/16 GAL-36UN</t>
  </si>
  <si>
    <t>SOLDADURA PVC COLOR LOWVOC 1/128GAL-60UN</t>
  </si>
  <si>
    <t>SOLDADURA APL PVCCOLO LOWVOC 1/4GAL-12UN</t>
  </si>
  <si>
    <t>SOLDADURA APL PVCCOLO LOWVOC 1/8GAL-24UN</t>
  </si>
  <si>
    <t>COLL DERIV BIAX-UP CON CORTADOR 3X1/2</t>
  </si>
  <si>
    <t>COLL DERIV BIAX-UP CON CORTADOR 3X3/4</t>
  </si>
  <si>
    <t>COLL DERIV BIAX-UP CON CORTADOR 3X1</t>
  </si>
  <si>
    <t>COLL DERIV BIAX-UP CON CORTADOR 4X1/2</t>
  </si>
  <si>
    <t>COLL DERIV BIAX-UP CON CORTADOR 4X3/4</t>
  </si>
  <si>
    <t>COLL DERIV BIAX-UP CON CORTADOR 4X1</t>
  </si>
  <si>
    <t>COLL DERIV BIAX-UP CON CORTADOR 6X1</t>
  </si>
  <si>
    <t>COLL DERIV BIAX-UP SIN CORTADOR 3X1/2</t>
  </si>
  <si>
    <t>COLL DERIV BIAX-UP SIN CORTADOR 3X3/4</t>
  </si>
  <si>
    <t>COLL DERIV BIAX-UP SIN CORTADOR 3X1</t>
  </si>
  <si>
    <t>COLL DERIV BIAX-UP SIN CORTADOR 3X1.1/2</t>
  </si>
  <si>
    <t>COLL DERIV BIAX-UP SIN CORTADOR 4X1/2</t>
  </si>
  <si>
    <t>COLL DERIV BIAX-UP SIN CORTADOR 4X3/4</t>
  </si>
  <si>
    <t>COLL DERIV BIAX-UP SIN CORTADOR 4X1</t>
  </si>
  <si>
    <t>COLL DERIV BIAX-UP SIN CORTADOR 4X1.1/2</t>
  </si>
  <si>
    <t>COLL DERIV BIAX-UP SIN CORTADOR 6X1/2</t>
  </si>
  <si>
    <t>COLL DERIV BIAX-UP SIN CORTADOR 6X3/4</t>
  </si>
  <si>
    <t>COLL DERIV BIAX-UP SIN CORTADOR 6X1</t>
  </si>
  <si>
    <t>COLL DERIV BIAX-UP SIN CORTADOR 6X1.1/4</t>
  </si>
  <si>
    <t>COLL DERIV BIAX-UP SIN CORTADOR 6X1.1/2</t>
  </si>
  <si>
    <t>BISELADOR 1/2-3/4-1 TB HOTPRO</t>
  </si>
  <si>
    <t>CORTATUBO  1/2 TB HOTPRO</t>
  </si>
  <si>
    <t>CORTATUBO  3/4 TB HOTPRO</t>
  </si>
  <si>
    <t>CORTATUBO  1 TB HOTPRO</t>
  </si>
  <si>
    <t>ADAPT ROS M PE 20MMX1/2 NPT PN16</t>
  </si>
  <si>
    <t>ADAPT ROS M PE 25MMX3/4 NPT PN16</t>
  </si>
  <si>
    <t>ADAPT ROS M PE 40MMX1.1/4 NPT PN16</t>
  </si>
  <si>
    <t>ADAPT ROS M PE 50MMX1.1/2 NPT PN16</t>
  </si>
  <si>
    <t>ADAPT ROS M PE 63MMX2 NPT PN16</t>
  </si>
  <si>
    <t>ADAPT ROS M PE 75MMX2.1/2 NPT PN16</t>
  </si>
  <si>
    <t>ADAPT ROS M PE 90MMX3 NPT PN16</t>
  </si>
  <si>
    <t>ADAPT ROS M PE 110MMX4 NPT PN16</t>
  </si>
  <si>
    <t>CODO 90 PE 75MM RAPIDO PN16</t>
  </si>
  <si>
    <t>CODO 90 PE 90MM RAPIDO PN16</t>
  </si>
  <si>
    <t>CODO 90 PE 110MM RAPIDO PN16</t>
  </si>
  <si>
    <t>COLL DERIV PE 50MMX1/2 PN16 TORN METAL</t>
  </si>
  <si>
    <t>COLL DERIV PE 75MMX1/2 PN16 TORN METAL</t>
  </si>
  <si>
    <t>COLL DERIV PE 90MMX1/2 PN16 TORN METAL</t>
  </si>
  <si>
    <t>COLL DERIV PE 90MMX1.1/2 PN16 TORN METAL</t>
  </si>
  <si>
    <t>COLL DERIV PE 90MMX2 PN16 TORN METAL</t>
  </si>
  <si>
    <t>COLL DERIV PE 110MMX1/2 PN16 TORN METAL</t>
  </si>
  <si>
    <t>COLL DERIV PE 110MMX1.1/2 PN16 TORN META</t>
  </si>
  <si>
    <t>TEE PE 50MM RAPIDA PN16</t>
  </si>
  <si>
    <t>TEE PE 75MM RAPIDA PN16</t>
  </si>
  <si>
    <t>TEE PE 90MM RAPIDA PN16</t>
  </si>
  <si>
    <t>UNION MECANICA PE 50MM PN16</t>
  </si>
  <si>
    <t>UNION MECANICA PE 90MM PN16</t>
  </si>
  <si>
    <t>UNION MECANICA PE 110MM PN16</t>
  </si>
  <si>
    <t>TB LISO 1/2 CPVC HOTPRO RDE11 3M - 48 UN</t>
  </si>
  <si>
    <t>TB LISO 1/2 CPVC HOTPRO RDE11 1M - 48 UN</t>
  </si>
  <si>
    <t>TB LISO 3/4 CPVC HOTPRO RDE11 3M - 24 UN</t>
  </si>
  <si>
    <t>TB LISO 3/4 CPVC HOTPRO RDE11 1M - 48 UN</t>
  </si>
  <si>
    <t>TB LISO 1 CPVC HOTPRO RDE11 3M - 24 UN</t>
  </si>
  <si>
    <t>TB LISO 1.1/4 CPVC HOTPRO RDE11 6M - 5UN</t>
  </si>
  <si>
    <t>TB LISO 1.1/2 CPVC HOTPRO RDE11 6M - 4UN</t>
  </si>
  <si>
    <t>TB LISO 2 CPVC HOTPRO RDE11 6M</t>
  </si>
  <si>
    <t>BASE CAMARA INSP INY 600X160 90</t>
  </si>
  <si>
    <t>BASE CAMARA INSP INY 600X160 RECTA</t>
  </si>
  <si>
    <t>BASE CAMARA INSP INY 600X160 TEE</t>
  </si>
  <si>
    <t>BASE CAMARA INSP INY 600X160 DOBLE TEE</t>
  </si>
  <si>
    <t>BASE CAMARA INSP INY 600X200 90</t>
  </si>
  <si>
    <t>BASE CAMARA INSP INY 600X200 RECTA</t>
  </si>
  <si>
    <t>BASE CAMARA INSP INY 600X200 TEE</t>
  </si>
  <si>
    <t>BASE CAMARA INSP INY 600X200 DOBLE TEE</t>
  </si>
  <si>
    <t>REPUESTO GRIFERIA CIERRE CERAMICO</t>
  </si>
  <si>
    <t>ADAPT ROS HEM 1/2 CPVC HOTPRO - 400 UN</t>
  </si>
  <si>
    <t>ADAPT ROS HEM 3/4 CPVC HOTPRO - 200 UN</t>
  </si>
  <si>
    <t>ADAPT ROS MACH 1/2 CPVC HOTPRO - 500 UN</t>
  </si>
  <si>
    <t>ADAPT ROS MACH 3/4 CPVC HOTPRO - 200 UN</t>
  </si>
  <si>
    <t>ADAPT ROS MACH 1 CPVC HOTPRO - 100 UN</t>
  </si>
  <si>
    <t>ADAPT ROS MACH 1.1/4 CPVC HOTPRO - 60 UN</t>
  </si>
  <si>
    <t>ADAPT ROS MACH 1.1/2 CPVC HOTPRO - 50 UN</t>
  </si>
  <si>
    <t>ADAPT HEM 1/2 CPVC HOTPRO PREPIC - 80 UN</t>
  </si>
  <si>
    <t>ADAPT HEM 3/4 CPVC HOTPRO PREPIC - 30 UN</t>
  </si>
  <si>
    <t>ADAPT MACH 1/2 CPVC HOTPRO PREPIC-200 UN</t>
  </si>
  <si>
    <t>ADAPT MACH 3/4 CPVC HOTPRO PREPIC-20 UN</t>
  </si>
  <si>
    <t>ADAPT MACH 1/2 CPVC HOTPRO PROPAC-200 UN</t>
  </si>
  <si>
    <t>BUJE SOLD 3/4X1/2 CPVC HOTPRO - 500 UN</t>
  </si>
  <si>
    <t>BUJE SOLD 1X1/2 CPVC HOTPRO - 100 UN</t>
  </si>
  <si>
    <t>BUJE SOLD 1X3/4 CPVC HOTPRO - 100 UN</t>
  </si>
  <si>
    <t>BUJE SOLD 1.1/4X1 CPVC HOTPRO - 150 UN</t>
  </si>
  <si>
    <t>BUJE SOLD 1.1/2X1 CPVC HOTPRO - 100 UN</t>
  </si>
  <si>
    <t>BUJE SOLD 1.1/2X1.1/4 CPVC HOTPRO-100 UN</t>
  </si>
  <si>
    <t>BUJE SOLD 3/4X1/2 CPVC HOTPROPREPIC-50UN</t>
  </si>
  <si>
    <t>CODO 45 1/2 CPVC HOTPRO - 200 UN</t>
  </si>
  <si>
    <t>CODO 45 3/4 CPVC HOTPRO - 200 UN</t>
  </si>
  <si>
    <t>CODO 45 1 CPVC HOTPRO - 100 UN</t>
  </si>
  <si>
    <t>CODO 45 1.1/4 CPVC HOTPRO - 50 UN</t>
  </si>
  <si>
    <t>CODO 45 1.1/2 CPVC HOTPRO - 40 UN</t>
  </si>
  <si>
    <t>CODO 45 1/2 CPVC HOTPRO PREPIC - 60 UN</t>
  </si>
  <si>
    <t>CODO 45 3/4 CPVC HOTPRO PREPIC - 20 UN</t>
  </si>
  <si>
    <t>CODO 90 1/2 CPVC HOTPRO - 500 UN</t>
  </si>
  <si>
    <t>CODO 90 3/4 CPVC HOTPRO - 300 UN</t>
  </si>
  <si>
    <t>CODO 90 1 CPVC HOTPRO - 100 UN</t>
  </si>
  <si>
    <t>CODO 90 1.1/4 CPVC HOTPRO - 50 UN</t>
  </si>
  <si>
    <t>CODO 90 1.1/2 CPVC HOTPRO - 30 UN</t>
  </si>
  <si>
    <t>CODO 90 1/2 CPVC HOTPRO PREPIC - 200 UN</t>
  </si>
  <si>
    <t>CODO 90 3/4 CPVC HOTPRO PREPIC - 50 UN</t>
  </si>
  <si>
    <t>CODO 90 1/2 CPVC HOTPRO PROPAC - 300 UN</t>
  </si>
  <si>
    <t>TAPON SOLD 1/2 CPVC HOTPRO - 500 UN</t>
  </si>
  <si>
    <t>TAPON SOLD 3/4 CPVC HOTPRO - 200 UN</t>
  </si>
  <si>
    <t>TAPON SOLD 1 CPVC HOTPRO - 100 UN</t>
  </si>
  <si>
    <t>TAPON SOLD 1.1/4 CPVC HOTPRO - 150 UN</t>
  </si>
  <si>
    <t>TAPON SOLD 1.1/2 CPVC HOTPRO - 100 UN</t>
  </si>
  <si>
    <t>TAPON SOLD 1/2 CPVC HOTPRO PREPIC-60 UN</t>
  </si>
  <si>
    <t>TAPON SOLD 3/4 CPVC HOTPRO PREPIC-30 UN</t>
  </si>
  <si>
    <t>TAPON 1/2 SOLD CPVC HOTPRO PROPAC-100 UN</t>
  </si>
  <si>
    <t>TEE 1/2 CPVC HOTPRO - 500 UN</t>
  </si>
  <si>
    <t>TEE 3/4 CPVC HOTPRO - 200 UN</t>
  </si>
  <si>
    <t>TEE 1 CPVC HOTPRO - 100 UN</t>
  </si>
  <si>
    <t>TEE 1.1/4 CPVC HOTPRO - 30 UN</t>
  </si>
  <si>
    <t>TEE 1.1/2 CPVC HOTPRO - 20 UN</t>
  </si>
  <si>
    <t>TEE 1/2 CPVC HOTPRO PREPIC - 80 UN</t>
  </si>
  <si>
    <t>TEE 3/4 CPVC HOTPRO PREPIC - 30 UN</t>
  </si>
  <si>
    <t>TEE 1/2 CPVC HOTPRO PROPAC - 100 UN</t>
  </si>
  <si>
    <t>UNION 1/2 CPVC HOTPRO - 500 UN</t>
  </si>
  <si>
    <t>UNION 3/4 CPVC HOTPRO - 200 UN</t>
  </si>
  <si>
    <t>UNION 1 CPVC HOTPRO - 100 UN</t>
  </si>
  <si>
    <t>UNION 1.1/4 CPVC HOTPRO - 60 UN</t>
  </si>
  <si>
    <t>UNION 1.1/2 CPVC HOTPRO - 50 UN</t>
  </si>
  <si>
    <t>UNION 1/2 CPVC HOTPRO PREPIC - 120 UN</t>
  </si>
  <si>
    <t>UNION 3/4 CPVC HOTPRO PREPIC - 50 UN</t>
  </si>
  <si>
    <t>UNION 1/2 CPVC HOTPRO PROPAC - 100 UN</t>
  </si>
  <si>
    <t>UNION UNIV 1/2 CPVC HOTPRO - 100 UN</t>
  </si>
  <si>
    <t>UNION UNIV 3/4 CPVC HOTPRO - 100 UN</t>
  </si>
  <si>
    <t>UNION UNIV 1/2 CPVC HOTPRO PREPIC - 30UN</t>
  </si>
  <si>
    <t>VALV ESF CPVC HOTPRO 1/2 SOLD - 300 UN</t>
  </si>
  <si>
    <t>VALV ESF CPVC HOTPRO 3/4 SOLD - 130 UN</t>
  </si>
  <si>
    <t>VALV ESF CPVC HOTPRO 1 SOLD - 90 UN</t>
  </si>
  <si>
    <t>TB LISO EXT 63MM QS RDE31.5 5M GRIS</t>
  </si>
  <si>
    <t>TB LISO EXT 80MM QS RDE40 5M GRIS</t>
  </si>
  <si>
    <t>TB LISO EXT 100MM QS RDE40 5M GRIS</t>
  </si>
  <si>
    <t>TB LISO EXT 125MM QS RDE40 5M GRIS</t>
  </si>
  <si>
    <t>TB LISO EXT 160MM QS RDE40 5M GRIS</t>
  </si>
  <si>
    <t>TB LISO EXT 200MM QS RDE40 5M GRIS</t>
  </si>
  <si>
    <t>CODO QS PVC 45 50MM CXE GRIS</t>
  </si>
  <si>
    <t>CODO QS PVC 45 125MM CXC GRIS</t>
  </si>
  <si>
    <t>JUNTA EXPANSION QS PVC 125MM GRIS</t>
  </si>
  <si>
    <t>RED QS PVC EXC 100X80MM GRIS</t>
  </si>
  <si>
    <t>YEE QS PVC 100MM CAMPANA GRIS</t>
  </si>
  <si>
    <t>YEE QS PVC 125MM CAMPANA GRIS</t>
  </si>
  <si>
    <t>YEE QS PVC 160MM CAMPANA GRIS</t>
  </si>
  <si>
    <t>TB PRE 16MM PE100 150M PN20</t>
  </si>
  <si>
    <t>TB PRE 25MM PE100 100M PN16</t>
  </si>
  <si>
    <t>JUNTA EXPANSION QS PVC 160MM GRIS</t>
  </si>
  <si>
    <t>BASE CAMARA INSP 600X160MM INICIAL</t>
  </si>
  <si>
    <t>ACOPLE LAVAMANOS 60CM 1/2X1/2 - 100 UN</t>
  </si>
  <si>
    <t>ACOPLE SANITARIO 60CM 1/2X7/8 - 100 UN</t>
  </si>
  <si>
    <t>SIFON FLEXIBLE PSA - 40 UN</t>
  </si>
  <si>
    <t>VALV REGUL DOBLE 1/2 ACOPLES - 80 UN</t>
  </si>
  <si>
    <t>VALV REGUL SENCILLA 1/2 ACOPLES - 80 UN</t>
  </si>
  <si>
    <t>ABRAZADERA 1/2 HOTPRO</t>
  </si>
  <si>
    <t>ABRAZADERA 3/4 HOTPRO</t>
  </si>
  <si>
    <t>ABRAZADERA 1 HOTPRO</t>
  </si>
  <si>
    <t>TB RIEBER AWWA 4 C900 RDE18 235PSI 6M</t>
  </si>
  <si>
    <t>TB RIEBER AWWA 4 C900 RDE14 305PSI 6M</t>
  </si>
  <si>
    <t>TB RIEBER AWWA 6 C900 RDE18 235PSI 6M</t>
  </si>
  <si>
    <t>TB RIEBER AWWA 6 C900 RDE14 305PSI 6M</t>
  </si>
  <si>
    <t>TB RIEBER AWWA 8 C900 RDE18 235PSI 6M</t>
  </si>
  <si>
    <t>TB RIEBER AWWA 8 C900 RDE14 305PSI 6M</t>
  </si>
  <si>
    <t>MANGUERA FLEXIBLE CON UNION QS 40MM</t>
  </si>
  <si>
    <t>MANGUERA FLEXIBLE CON UNION QS 50MM</t>
  </si>
  <si>
    <t>MANGUERA FLEXIBLE CON UNION QS 63MM</t>
  </si>
  <si>
    <t>MANGUERA FLEXIBLE CON UNION QS 80MM</t>
  </si>
  <si>
    <t>CALENTADOR QS P/TRAGANTE 220V MEMBRANA</t>
  </si>
  <si>
    <t>CODO QS PVC 45 63MM CXE GRIS</t>
  </si>
  <si>
    <t>CODO QS PVC 45 125MM CXE GRIS</t>
  </si>
  <si>
    <t>RED QS PVC EXC 50X40MM GRIS</t>
  </si>
  <si>
    <t>RED QS PVC EXC 63X40MM GRIS</t>
  </si>
  <si>
    <t>RED QS PVC EXC 80X50MM GRIS</t>
  </si>
  <si>
    <t>RED QS PVC EXC 100X63MM GRIS</t>
  </si>
  <si>
    <t>RED QS PVC EXC 200X125MM GRIS</t>
  </si>
  <si>
    <t>UNION QS PVC 80MM GRIS</t>
  </si>
  <si>
    <t>UNION QS PVC 100MM GRIS</t>
  </si>
  <si>
    <t>YEE QS PVC 63MM CAMPANA GRIS</t>
  </si>
  <si>
    <t>ADAPT ROS HEM 1/2 PROPAC - 900 UN</t>
  </si>
  <si>
    <t>ADAPT TERM COND 1/2 GRISSCH40 PPAC-600UN</t>
  </si>
  <si>
    <t>ADAPT TERM COND 3/4 GRISSCH40 PPAC-550UN</t>
  </si>
  <si>
    <t>ADAPT TERM COND 1 GRISSCH40 PREPIC-130UN</t>
  </si>
  <si>
    <t>UNION CONDUIT 1/2 GRISSCH40 PREPIC-200UN</t>
  </si>
  <si>
    <t>UNION CONDUIT 3/4 GRISSCH40 PREPIC-150UN</t>
  </si>
  <si>
    <t>UNION CONDUIT 1 GRISSCH40 PREPIC - 50UN</t>
  </si>
  <si>
    <t>CODO PE 45 160MM TERMOENSAMBL PE100 PN10</t>
  </si>
  <si>
    <t>PLANTILLA QS TRAGANTE CANAL METALICA</t>
  </si>
  <si>
    <t>KIT QS SISTEMA EMERGENCIA CANAL METALICA</t>
  </si>
  <si>
    <t>TB ALC NOVAF S5 NORMPAVC 1100MM(45)6.5M</t>
  </si>
  <si>
    <t>TB ALC NOVAF S5 NORMPAVC 1200MM(48)6.5M</t>
  </si>
  <si>
    <t>UNION ALC 355MM(14) NOVAFORT</t>
  </si>
  <si>
    <t>ACOPLE ACERO INOX 1/2X1/2 AM 40CM-CFX</t>
  </si>
  <si>
    <t>ACOPLE SAN ACER INOX 1/2X7/8 AM 40CM-CFX</t>
  </si>
  <si>
    <t>ACOPLE EN VINILO 1/2X1/2 40 CM-CFX</t>
  </si>
  <si>
    <t>ADAPTADOR SIFON - BUJE UNIVERSAL-CFX</t>
  </si>
  <si>
    <t>BRIDA FLEXIBLE 3-CFX</t>
  </si>
  <si>
    <t>BRIDA FLEXIBLE CORTA 4-CFX</t>
  </si>
  <si>
    <t>KIT SANITARIO COMPLETO CLASICO-CFX</t>
  </si>
  <si>
    <t>REJILLA CUADRADA 2 ABS GRIS 10X10CM-CFX</t>
  </si>
  <si>
    <t>REJILLA CUADRA 2 TAPA ACEINO 10X10CM-CFX</t>
  </si>
  <si>
    <t>REJILLA CUADRA 2 TAPA CROMAD 10X10CM-CFX</t>
  </si>
  <si>
    <t>REJILLA REDONDA 2 ABS GRIS 10X10CM-CFX</t>
  </si>
  <si>
    <t>REJILLA REDON 2 TAPA ACERINO 10X10CM-CFX</t>
  </si>
  <si>
    <t>REJILLA REDON 2 TAPA CROMAD 10X10CM-CFX</t>
  </si>
  <si>
    <t>SIFÓN EN P BCO REGISTR P/L/V/M-L/V/P-CFX</t>
  </si>
  <si>
    <t>VALVULA DE LLENADO EXTENDIBLE-CFX</t>
  </si>
  <si>
    <t>CLIP INY AQUACELL</t>
  </si>
  <si>
    <t>TB LISO BIAX 3 6M PR200</t>
  </si>
  <si>
    <t>TB LISO BIAX 4 6M PR200</t>
  </si>
  <si>
    <t>TB LISO BIAX 6 6M PR200</t>
  </si>
  <si>
    <t>TB LISO 1 PVC GRIS SCH80 6.1M (20PIES)</t>
  </si>
  <si>
    <t>CODO 90 1 PVC GRIS SCH80</t>
  </si>
  <si>
    <t>CODO 45 1 PVC GRIS SCH80</t>
  </si>
  <si>
    <t>UNION 1 PVC GRIS SCH80</t>
  </si>
  <si>
    <t>ADAPTADOR ROS MACHO 1 PVC GRIS SCH80</t>
  </si>
  <si>
    <t>TEE SAN INY 6</t>
  </si>
  <si>
    <t>TEE RED SAN INY 6X4</t>
  </si>
  <si>
    <t>TB CONDUIT ELECTRIC 160MM PE100 6M PN10</t>
  </si>
  <si>
    <t>BRIDA HD CAMPANA 4 C900</t>
  </si>
  <si>
    <t>BRIDA HD CAMPANA 6 C900</t>
  </si>
  <si>
    <t>BRIDA HD CAMPANA 8 C900</t>
  </si>
  <si>
    <t>CODO HD 45 4 CAMP C900</t>
  </si>
  <si>
    <t>CODO HD 45 6 CAMP C900</t>
  </si>
  <si>
    <t>CODO HD 45 8 CAMP C900</t>
  </si>
  <si>
    <t>CODO HD 90 4 CAMP C900</t>
  </si>
  <si>
    <t>CODO HD 90 6 CAMP C900</t>
  </si>
  <si>
    <t>CODO HD 90 8 CAMP C900</t>
  </si>
  <si>
    <t>RED HD 6X4 CAMP C900</t>
  </si>
  <si>
    <t>RED HD 8X4 CAMP C900</t>
  </si>
  <si>
    <t>RED HD 8X6 CAMP C900</t>
  </si>
  <si>
    <t>TAPON HD 4 CAMP C900 SALIDA ROSC 2</t>
  </si>
  <si>
    <t>TAPON HD 6 CAMP C900 SALIDA ROSC 2</t>
  </si>
  <si>
    <t>TAPON HD 8 CAMP C900 SALIDA ROSC 2</t>
  </si>
  <si>
    <t>TAPON HD 4 C900</t>
  </si>
  <si>
    <t>TAPON HD 6 C900</t>
  </si>
  <si>
    <t>TAPON HD 8 C900</t>
  </si>
  <si>
    <t>TEE HD 4 CAMP C900</t>
  </si>
  <si>
    <t>TEE HD 6 CAMP C900</t>
  </si>
  <si>
    <t>TEE HD 8 CAMP C900</t>
  </si>
  <si>
    <t>TEE RED HD 6X4 CAMP C900</t>
  </si>
  <si>
    <t>TEE RED HD 8X4 CAMP C900</t>
  </si>
  <si>
    <t>TEE RED HD 8X6 CAMP C900</t>
  </si>
  <si>
    <t>UNION HD 4 CAMPXCAMP C900</t>
  </si>
  <si>
    <t>UNION HD 6 CAMPXCAMP C900</t>
  </si>
  <si>
    <t>UNION HD 8 CAMPXCAMP C900</t>
  </si>
  <si>
    <t>BASE CAMARA INSP INY 600X160 90 FIJA</t>
  </si>
  <si>
    <t>BASE CAMARA INSP INY 600X160 RECTA FIJA</t>
  </si>
  <si>
    <t>BASE CAMARA INSP INY 600X160 TEE FIJA</t>
  </si>
  <si>
    <t>BASE CAMARA INSP INY 600X160 DOBTEE FIJA</t>
  </si>
  <si>
    <t>BASE CAMARA INSP INY 600X200 90 FIJA</t>
  </si>
  <si>
    <t>BASE CAMARA INSP INY 600X200 RECTA FIJA</t>
  </si>
  <si>
    <t>BASE CAMARA INSP INY 600X200 TEE FIJA</t>
  </si>
  <si>
    <t>BASE CAMARA INSP INY 600X200 DOBTEE FIJA</t>
  </si>
  <si>
    <t>BASE CAMARA INSP 600X200MM INICIAL FIJA</t>
  </si>
  <si>
    <t>BASE CAMARA INSP 600X200MM 30 FIJA</t>
  </si>
  <si>
    <t>BASE CAMARA INSP 600X200MM 60 FIJA</t>
  </si>
  <si>
    <t>BASE CAMARA INSP 600X250MM INICIAL FIJA</t>
  </si>
  <si>
    <t>BASE CAMARA INSP 600X250MM RECTA FIJA</t>
  </si>
  <si>
    <t>BASE CAMARA INSP 600X250MM 90 FIJA</t>
  </si>
  <si>
    <t>BASE CAMARA INSP 600X315MM INICIAL FIJA</t>
  </si>
  <si>
    <t>BASE CAMARA INSP 600X315MM RECTA FIJA</t>
  </si>
  <si>
    <t>BASE CAMARA INSP 600X315MM 30 FIJA</t>
  </si>
  <si>
    <t>BASE CAMARA INSP 600X315MM 60 FIJA</t>
  </si>
  <si>
    <t>BASE CAMARA INSP 600X315MM 90 FIJA</t>
  </si>
  <si>
    <t>BASE CAMARA INSP 1000X200MM INICIAL FIJA</t>
  </si>
  <si>
    <t>BASE CAMARA INSP 1000X200MM RECTA FIJA</t>
  </si>
  <si>
    <t>BASE CAMARA INSP 1000X200MM 45 FIJA</t>
  </si>
  <si>
    <t>BASE CAMARA INSP 1000X200MM 90 FIJA</t>
  </si>
  <si>
    <t>BASE CAMARA INSP 1000X200MM TEE FIJA</t>
  </si>
  <si>
    <t>BASE CAMARA INSP 1000X250MM INICIAL FIJA</t>
  </si>
  <si>
    <t>BASE CAMARA INSP 1000X250MM RECTA FIJA</t>
  </si>
  <si>
    <t>BASE CAMARA INSP 1000X250MM TEE FIJA</t>
  </si>
  <si>
    <t>BASE CAMARA INSP 1000X315MM RECTA FIJA</t>
  </si>
  <si>
    <t>REGIST INCORPORACION 1/2 DZRXPE 16MM</t>
  </si>
  <si>
    <t>REGIST INCORPORACION 1/2 DZRXPE 20MM</t>
  </si>
  <si>
    <t>REGIST INCORPORACION 1/2 DZRXPEALPE</t>
  </si>
  <si>
    <t>REGIST INCORPORACION 3/4M DZRXPE 25MM</t>
  </si>
  <si>
    <t>REGIST INCORPORACION 3/4M DZRXPF 3/4 PVC</t>
  </si>
  <si>
    <t>REGIST CORTE ANTIF 1/2INS DZR INTXTELESC</t>
  </si>
  <si>
    <t>REGIST CORTE ANTIF 1/2INS DZR INT-PE16MM</t>
  </si>
  <si>
    <t>REGIST CORTE ANTIF 1/2INS DZR INT-PE20MM</t>
  </si>
  <si>
    <t>REGIST CORTE ANTIF 1/2INS DZR INT-PEALPE</t>
  </si>
  <si>
    <t>REGIST CORTE ANTIF 1/2INS DZR INT CORTO</t>
  </si>
  <si>
    <t>REGIST CORTE ANTIF 1/2INS DZR INT LARGO</t>
  </si>
  <si>
    <t>REGIST CORTE ANTIF 3/4 F DZRXPE 25MM</t>
  </si>
  <si>
    <t>REGIST CORTE ANTIF 3/4H DZRXPF 3/4 PVC</t>
  </si>
  <si>
    <t>REGIST CONTROL 1/2INS DZR INTXTELESC NYL</t>
  </si>
  <si>
    <t>REGIST CONTROL 1/2 INS DZR INT-PE 16MM</t>
  </si>
  <si>
    <t>REGIST CONTROL 1/2 INS DZR INT-PE 20MM</t>
  </si>
  <si>
    <t>REGIST CONTROL 1/2 INS DZR INT CORTO</t>
  </si>
  <si>
    <t>REGIST CONTROL 1/2 INS DZR INT LARGO</t>
  </si>
  <si>
    <t>REGIST CONTROL MACHO 3/4DZRXHEMBR 3/4DZR</t>
  </si>
  <si>
    <t>JGO CONECT 45MM MEDID AGUA 3/4X1/2 NYLON</t>
  </si>
  <si>
    <t>JGO CONECT 58MM MEDID AGUA 3/4X1/2 NYLON</t>
  </si>
  <si>
    <t>JGO CONEC 45MM MEDAGUA 1/2-3/4X1/2-7/8NY</t>
  </si>
  <si>
    <t>CHECK ANTIFRAUDE 1/2 DZR</t>
  </si>
  <si>
    <t>Este valor es tomado de la sección de Dimensionamiento. Es un valor obligatorio</t>
  </si>
  <si>
    <t>El factor de seguridad mínimo para evitar la flotación es de 1.2</t>
  </si>
  <si>
    <t>En esta sección podrás estimar el tiempo de vaciado aproximado que tendrá el tanque Aquacell.</t>
  </si>
  <si>
    <t>Caudal máximo de Infiltración (l/s)</t>
  </si>
  <si>
    <t>ESQUEMA CELDA CORE Y TANQUE</t>
  </si>
  <si>
    <t>Volumen de agua a almacenar</t>
  </si>
  <si>
    <t>Número de conexiones</t>
  </si>
  <si>
    <t>Tipo de Celda</t>
  </si>
  <si>
    <t>En esta sección se calcula el nivel de lámina de agua mínimo para lograr una optima infiltración de tu tanque Aquacell. Para ello, necesitarás datos tano de las dimensiones del tanque como de la hidrología de la zona (intensidad de lluvias y área de captación aferente).</t>
  </si>
  <si>
    <t>EL MÉTODO PARA VERIFICAR LA INFILTRACIÓN FUE TOMADO DEL MANUAL DE SUDS DEL CIRIA. EL CUAL ESTABLECE UNA METODOLOGÍA DE DISEÑO ADECUADA PARA DIVERSOS TIPOS DE SISTEMAS, ENTRE ELLOS SE ENCUENTRA NUESTRO SISTEMA DE CELDAS AQUACELL. LA INFORMACIÓN ACERCA DE ESTA METODOLOGÍA LA ENCUENTRAN EN EL SIGUIENTE LINK:</t>
  </si>
  <si>
    <t>Cantidad de tubería (und)</t>
  </si>
  <si>
    <t>No. De conexiones requeridas</t>
  </si>
  <si>
    <r>
      <rPr>
        <b/>
        <sz val="11"/>
        <color theme="0"/>
        <rFont val="PT Sans Narrow"/>
        <family val="2"/>
      </rPr>
      <t>A:</t>
    </r>
    <r>
      <rPr>
        <sz val="11"/>
        <color theme="0"/>
        <rFont val="PT Sans Narrow"/>
        <family val="2"/>
      </rPr>
      <t xml:space="preserve"> Área aferente (m²)</t>
    </r>
  </si>
  <si>
    <r>
      <rPr>
        <b/>
        <sz val="11"/>
        <color theme="0"/>
        <rFont val="PT Sans Narrow"/>
        <family val="2"/>
      </rPr>
      <t>Qdescarga:</t>
    </r>
    <r>
      <rPr>
        <sz val="11"/>
        <color theme="0"/>
        <rFont val="PT Sans Narrow"/>
        <family val="2"/>
      </rPr>
      <t xml:space="preserve"> Caudal pluvial susceptible a ser entregado aguas abajo (LPS) (Opcional)</t>
    </r>
  </si>
  <si>
    <t>Diámetros Sanitario</t>
  </si>
  <si>
    <t>SAN - 2"</t>
  </si>
  <si>
    <t>SAN - 3"</t>
  </si>
  <si>
    <t>HIDROSEL NOVALOC 36 (BLQ)</t>
  </si>
  <si>
    <t>SELLO TDP 4 ND DELGADO</t>
  </si>
  <si>
    <t>HIDROSEL AWWA C900 RCT 4</t>
  </si>
  <si>
    <t>HIDROSEL AWWA C900 RCT 6</t>
  </si>
  <si>
    <t>HIDROSEL AWWA C900 RCT 8</t>
  </si>
  <si>
    <t>SELLO TDP 4 ND TIPO B GRUESO</t>
  </si>
  <si>
    <t>PIN AQUACELL (BLQ)</t>
  </si>
  <si>
    <t>TB ACU 8 UM RDE26 160PSI 6M (BLQ)</t>
  </si>
  <si>
    <t>TB GAS 160MM RDE11 10M PE NAR</t>
  </si>
  <si>
    <t>TB GAS 25MM RDE11 150M PE AMAR (BLQ)</t>
  </si>
  <si>
    <t>TB GAS 32MM RDE11 150M PE AMAR (BLQ)</t>
  </si>
  <si>
    <t>TB GAS 63MM RDE11 100M PE NAR (BLQ)</t>
  </si>
  <si>
    <t>TB LISO PRE 3 RDE9 6M (BLQ)</t>
  </si>
  <si>
    <t>TB LISO PRE 4 RDE9 6M</t>
  </si>
  <si>
    <t>TB ACU 6 RDE9 EL (BLQ)</t>
  </si>
  <si>
    <t>TB ACU 6 EL RDE11 6M (BLQ)</t>
  </si>
  <si>
    <t>TB LISO PRE 8 RDE9 6M (BLQ)</t>
  </si>
  <si>
    <t>TB LISO PRE 8 RDE11 6M (BLQ)</t>
  </si>
  <si>
    <t>CODO SAN 90 3 CXC EASY-6 (BLQ)</t>
  </si>
  <si>
    <t>TB ACU 10 UM RDE26 160PSI 6M (BLQ)</t>
  </si>
  <si>
    <t>TB ACU 12 UM RDE32.5 125PSI 6M (BLQ)</t>
  </si>
  <si>
    <t>TB ACU 16 UM RDE21 200PSI 6M (BLQ)</t>
  </si>
  <si>
    <t>TB ACU 18 UM RDE21 200PSI 6M (BLQ)</t>
  </si>
  <si>
    <t>TB ACU 20 UM RDE21 200PSI 6M (BLQ)</t>
  </si>
  <si>
    <t>TB RIEGO 1/2 CAMP LISA RDE21 6M - 24 UN</t>
  </si>
  <si>
    <t>TB RIEGO C/COMP 6 9.17M (BLQ)</t>
  </si>
  <si>
    <t>TB ACU 12 UM RDE17 250PSI 6M (BLQ)</t>
  </si>
  <si>
    <t>ADAPT ALC 200MM NOVAFORT A CONC 8</t>
  </si>
  <si>
    <t>CODO ACU 11.1/4 10 UM</t>
  </si>
  <si>
    <t>CODO ACU 11.1/4 12 UM</t>
  </si>
  <si>
    <t>CODO ACU 11.1/4 2 UM</t>
  </si>
  <si>
    <t>CODO ACU 11.1/4 2.1/2 UM</t>
  </si>
  <si>
    <t>CODO ACU 11.1/4 3 UM</t>
  </si>
  <si>
    <t>CODO ACU 11.1/4 4 UM</t>
  </si>
  <si>
    <t>CODO ACU 11.1/4 6 UM</t>
  </si>
  <si>
    <t>CODO ACU 11.1/4 8 UM</t>
  </si>
  <si>
    <t>CODO ACU 22.1/2 10 UM</t>
  </si>
  <si>
    <t>CODO ACU 22.1/2 12 UM</t>
  </si>
  <si>
    <t>CODO ACU 22.1/2 2 UM</t>
  </si>
  <si>
    <t>CODO ACU 22.1/2 2.1/2 UM</t>
  </si>
  <si>
    <t>CODO ACU 22.1/2 3 UM</t>
  </si>
  <si>
    <t>CODO ACU 22.1/2 4 UM</t>
  </si>
  <si>
    <t>CODO ACU 22.1/2 6 UM</t>
  </si>
  <si>
    <t>CODO ACU 22.1/2 8 UM</t>
  </si>
  <si>
    <t>CODO ACU 45 10 UM</t>
  </si>
  <si>
    <t>CODO ACU 45 12 UM</t>
  </si>
  <si>
    <t>CODO ACU 45 2 UM RDE21</t>
  </si>
  <si>
    <t>CODO ACU 45 2.1/2 UM</t>
  </si>
  <si>
    <t>CODO ACU 45 3 UM RDE21</t>
  </si>
  <si>
    <t>CODO ACU 45 4 UM RDE21</t>
  </si>
  <si>
    <t>CODO ACU 45 8 UM</t>
  </si>
  <si>
    <t>CODO ACU 6 12 UM</t>
  </si>
  <si>
    <t>CODO ACU 6 8 UM</t>
  </si>
  <si>
    <t>CODO ACU 90 10 UM</t>
  </si>
  <si>
    <t>CODO ACU 90 12 UM</t>
  </si>
  <si>
    <t>CODO ACU 90 2 UM RDE21</t>
  </si>
  <si>
    <t>CODO ACU 90 2.1/2 UM</t>
  </si>
  <si>
    <t>CODO ACU 90 3 UM RDE21</t>
  </si>
  <si>
    <t>CODO ACU 90 8 UM</t>
  </si>
  <si>
    <t>CODO ALC 90 450MM NOVAFORT (BLQ)</t>
  </si>
  <si>
    <t>KIT SILLA YEE 315X160MM S8 NOVAFORT</t>
  </si>
  <si>
    <t>SILLA YEE ALC 315X160MM NOVAFORT</t>
  </si>
  <si>
    <t>SILLA YEE ALC 400X160MM NOVAFORT</t>
  </si>
  <si>
    <t>TEE ACU 3X3X3 UM</t>
  </si>
  <si>
    <t>UNION ACU RAPIDA 10</t>
  </si>
  <si>
    <t>UNION ACU RAPIDA 12</t>
  </si>
  <si>
    <t>UNION ACU RAPIDA 2</t>
  </si>
  <si>
    <t>UNION ACU RAPIDA 2.1/2</t>
  </si>
  <si>
    <t>UNION ACU RAPIDA 3</t>
  </si>
  <si>
    <t>UNION ACU RAPIDA 4</t>
  </si>
  <si>
    <t>UNION ACU RAPIDA 6</t>
  </si>
  <si>
    <t>UNION ACU RAPIDA 8</t>
  </si>
  <si>
    <t>UNION ALC 36 NOVALOC (BLQ)</t>
  </si>
  <si>
    <t>UNION REP ACU 10 UM</t>
  </si>
  <si>
    <t>UNION REP ACU 12 UM</t>
  </si>
  <si>
    <t>UNION REP ACU 2 UM</t>
  </si>
  <si>
    <t>UNION REP ACU 2.1/2 UM</t>
  </si>
  <si>
    <t>UNION REP ACU 3 UM</t>
  </si>
  <si>
    <t>UNION REP ACU 4 UM</t>
  </si>
  <si>
    <t>UNION REP ACU 6 UM</t>
  </si>
  <si>
    <t>UNION REP ACU 8 UM</t>
  </si>
  <si>
    <t>BASE CAMARA INSP 600X315 TEE (BLQ)</t>
  </si>
  <si>
    <t>BASE CAMARA INSP 600X315 DOBLE TEE (BLQ)</t>
  </si>
  <si>
    <t>BASE CAMARA INSP 1000X250 DOBLETEE (BLQ)</t>
  </si>
  <si>
    <t>ELEVADOR NOVAFOR CAMARA 600X2500MM</t>
  </si>
  <si>
    <t>ELEVADOR NOVAFOR CAMARA 600X2750MM (BLQ)</t>
  </si>
  <si>
    <t>ELEVADOR NOVAFOR CAMARA 600X3250MM (BLQ)</t>
  </si>
  <si>
    <t>ELEVADOR NOVAFOR CAMARA 600X3500MM (BLQ)</t>
  </si>
  <si>
    <t>ELEVADOR NOVAFOR CAMARA 600X3750MM (BLQ)</t>
  </si>
  <si>
    <t>ELEVADOR NOVAFOR CAMAR 1000X3250MM</t>
  </si>
  <si>
    <t>ELEVADOR NOVAFOR CAMAR 1000X3750MM (BLQ)</t>
  </si>
  <si>
    <t>SILLA YEE ALC 27X250MM NOVAFORT (BLQ)</t>
  </si>
  <si>
    <t>KIT SILLA YEE 315X160 PLUS S4 NOVAFORT</t>
  </si>
  <si>
    <t>BASE CAMARA I 1000X250MM INICIAL (BLQ)</t>
  </si>
  <si>
    <t>SILLA TEE ALC 400X200MM NOVAFORT (BLQ)</t>
  </si>
  <si>
    <t>CODO PE PRE 45 90MM TF PN16 (BLQ)</t>
  </si>
  <si>
    <t>COLLDERIV PE63MMX3/4PN10 TORNMETAL (BLQ)</t>
  </si>
  <si>
    <t>TEE PE PRE 63MM PN10 TERMF (BLQ)</t>
  </si>
  <si>
    <t>CANALETA CANAFL 20X12 CON ADHESIVO (BLQ)</t>
  </si>
  <si>
    <t>FLANCHE MET 75MM UNIV (BLQ)</t>
  </si>
  <si>
    <t>CODO 90 3 CPVC BM CAMP-CAMP (BLQ)</t>
  </si>
  <si>
    <t>BUJE 2.1/2X2 CPVCBM ESPIGO-CAMPANA (BLQ)</t>
  </si>
  <si>
    <t>BUJE 3X2 CPVC BM ESPIGO-CAMPANA (BLQ)</t>
  </si>
  <si>
    <t>TAPON PE PRE 315MM PN16 TERMF (BLQ)</t>
  </si>
  <si>
    <t>VALV GAS PALANCA 1/2 1216 (BLQ)</t>
  </si>
  <si>
    <t>TB GAS 6 RDE11 10M PE100 NAR (BLQ)</t>
  </si>
  <si>
    <t>TB PRE 250MM PE100 6M PN6</t>
  </si>
  <si>
    <t>CODO QS PVC 45 160MM CXC (BLQ)</t>
  </si>
  <si>
    <t>CLICKCONECT MANGUE FLEX QS PVC63MM (BLQ)</t>
  </si>
  <si>
    <t>RED QS PVC EXC 100X80MM (BLQ)</t>
  </si>
  <si>
    <t>TANQUE SEPTICO 2000LT (BLQ)</t>
  </si>
  <si>
    <t>TB PRE 160MM PE100 6M PN12.5 (BLQ)</t>
  </si>
  <si>
    <t>TB ACU 24 UM RDE41 100PSI 6M</t>
  </si>
  <si>
    <t>CODO QS PVC 15 100MM CXC (BLQ)</t>
  </si>
  <si>
    <t>RED PE PRE 90X75MM PN16 TERMF (BLQ)</t>
  </si>
  <si>
    <t>TB RIEGO SIN COMPUERTA 8 9.17M</t>
  </si>
  <si>
    <t>ACCPRC CELDA AQUACELL RD</t>
  </si>
  <si>
    <t>TEE ALC 500MM NOVAFORT (BLQ)</t>
  </si>
  <si>
    <t>TEE PE 355MM TERMOENSAMB PE100PN10 (BLQ)</t>
  </si>
  <si>
    <t>CODOPE45 355MMTERMOENSAM PE100PN10 (BLQ)</t>
  </si>
  <si>
    <t>TB PRE 40MM PE100 100M PN16 (BLQ)</t>
  </si>
  <si>
    <t>ELEVADOR NOVAFO CAMAR 1000X6000MM (BLQ)</t>
  </si>
  <si>
    <t>SILLA YEE ALC 30X200MM NOVAFORT (BLQ)</t>
  </si>
  <si>
    <t>TEE PE INY 63MM TF PN10</t>
  </si>
  <si>
    <t>CODO PE 45 250MMTERMOENSAPE100PN16 (BLQ)</t>
  </si>
  <si>
    <t>CODO PE 90 315MM TERMOEN PE100PN16 (BLQ)</t>
  </si>
  <si>
    <t>CODO PE 90 355MM TERMOEN PE100PN10 (BLQ)</t>
  </si>
  <si>
    <t>ELEVADOR NOVAFO CAMARA 1000X4750MM (BLQ)</t>
  </si>
  <si>
    <t>ADAPT ROS HEM 2 PVC GRIS SCH80 (BLQ)</t>
  </si>
  <si>
    <t>SILLETA PE PRE 90MMX1/2 NPT (BLQ)</t>
  </si>
  <si>
    <t>TAPON QS FABRIC MAN 200MM (BLQ)</t>
  </si>
  <si>
    <t>TB PRE 355MM PE100 6M PN6 (BLQ)</t>
  </si>
  <si>
    <t>CODO ACU INY 45 2 UM CORTO - 25 UN</t>
  </si>
  <si>
    <t>CODO ACU INY 90 2 UM CORTO - 20 UN</t>
  </si>
  <si>
    <t>RED ACU INY 4X3 UM CORTA - 10 UN</t>
  </si>
  <si>
    <t>RED ACU INY 6X4 UM CORTA - 3 UN</t>
  </si>
  <si>
    <t>TAPON ACU INY 3 UM CORTO - 20 UN</t>
  </si>
  <si>
    <t>TAPON ACU INY 4 UM CORTO - 10 UN</t>
  </si>
  <si>
    <t>TAPON ACU INY 6 UM CORTO - 2 UN</t>
  </si>
  <si>
    <t>TEE ACU INY 2 UM CORTA - 10 UN</t>
  </si>
  <si>
    <t>TEE ACU INY 6 UM CORTA - 1 UN</t>
  </si>
  <si>
    <t>TAPON CAUCHO CONDUIT 6 (BLQ)</t>
  </si>
  <si>
    <t>TB GAS 110MM RDE11 50M PE NAR (BLQ)</t>
  </si>
  <si>
    <t>CODO ACU INY 45 3 UM CORTO - 9 UN</t>
  </si>
  <si>
    <t>CODO ACU INY 45 4 UM CORTO - 4 UN</t>
  </si>
  <si>
    <t>CODO ACU INY 45 6 UM CORTO - 1 UN</t>
  </si>
  <si>
    <t>CODO ACU INY 90 3 UM CORTO - 4 UN</t>
  </si>
  <si>
    <t>CODO ACU INY 90 4 UM CORTO - 5 UN</t>
  </si>
  <si>
    <t>CODO ACU INY 90 6 UM CORTO - 1 UN</t>
  </si>
  <si>
    <t>TEE ACU INY 3 UM CORTA - 4 UN</t>
  </si>
  <si>
    <t>TEE ACU INY 4 UM CORTA - 2 UN</t>
  </si>
  <si>
    <t>TEJA POLICARBONATO PERFIL 7 #6OPAL (BLQ)</t>
  </si>
  <si>
    <t>TEJA POLICARBON PERFIL 7 #6CRISTAL (BLQ)</t>
  </si>
  <si>
    <t>TEJA POLICARBONATO PERFIL 7 #8OPAL (BLQ)</t>
  </si>
  <si>
    <t>TEJA POLICARBON PERFIL 7 #8CRISTAL (BLQ)</t>
  </si>
  <si>
    <t>TEJA POLICARBONAT PERFIL 7 #10OPAL (BLQ)</t>
  </si>
  <si>
    <t>TEJA POLICARBON PERFI 7 #10CRISTAL (BLQ)</t>
  </si>
  <si>
    <t>TEJA POLICARBONATO ROMA #6 OPAL (BLQ)</t>
  </si>
  <si>
    <t>TEJA POLICARBONATO ROMA #6 CRISTAL (BLQ)</t>
  </si>
  <si>
    <t>TEJA POLICARBONATO ROMA #8 OPAL (BLQ)</t>
  </si>
  <si>
    <t>TEJA POLICARBONATO ROMA #8 CRISTAL (BLQ)</t>
  </si>
  <si>
    <t>TEJA POLICARBONATO ROMA #10 OPAL (BLQ)</t>
  </si>
  <si>
    <t>TEJA POLICARBONATO ROMA #10CRISTAL (BLQ)</t>
  </si>
  <si>
    <t>ROCIAPENCR1/2QSC155F(68C)K5.6VK302 (BLQ)</t>
  </si>
  <si>
    <t>CODO QS FABRIC MAN 15 200MM CXC (BLQ)</t>
  </si>
  <si>
    <t>TB HEP2O 28MM 25M</t>
  </si>
  <si>
    <t>TEJA PVC PERFIL 7 #6 MARFIL (BLQ)</t>
  </si>
  <si>
    <t>TEJA PVC PERFIL 7 #8 MARFIL (BLQ)</t>
  </si>
  <si>
    <t>TEJA PVC PERFIL 7 #10 MARFIL (BLQ)</t>
  </si>
  <si>
    <t>TANQUE BOTEL DOBLECAPA 300LT NEGRO (BLQ)</t>
  </si>
  <si>
    <t>TEJA POLICARBONATO PERFIL 7 #4OPAL (BLQ)</t>
  </si>
  <si>
    <t>TEJA POLICARBONA PERFIL7 #4CRISTAL (BLQ)</t>
  </si>
  <si>
    <t>TB RIEGO C/COMP DOBLE 8 9.17M (BLQ)</t>
  </si>
  <si>
    <t>ARO TAPAPPCAMINSP1000/600REDO(EPN) (BLQ)</t>
  </si>
  <si>
    <t>TBALCNOVAF S6 975MM(39) 46PSI 6.5M (BLQ)</t>
  </si>
  <si>
    <t>CODO PE 90 90MM TERMOEN PE100 PN10 (BLQ)</t>
  </si>
  <si>
    <t>TEE PE 110MM TERMOENSAM PE100 PN10 (BLQ)</t>
  </si>
  <si>
    <t>TEE PE 160MM TERMOENSAA PE100 PN10 (BLQ)</t>
  </si>
  <si>
    <t>COLL DERIV BIAX-UP CON CORTAD6X1/2 (BLQ)</t>
  </si>
  <si>
    <t>COLL DERIV BIAX-UP CON CORTAD6X3/4 (BLQ)</t>
  </si>
  <si>
    <t>COLL DERIV BIAX-UPSINCORTAD3X1.1/4 (BLQ)</t>
  </si>
  <si>
    <t>COLL DERIV BIAX-UPSINCORTAD4X1.1/4 (BLQ)</t>
  </si>
  <si>
    <t>CODO PE 45 160MMTERMOENSAPE100PN16 (BLQ)</t>
  </si>
  <si>
    <t>ADAPT ROS M PE 32MMX1 NPT PN16 (BLQ)</t>
  </si>
  <si>
    <t>UNION MECANICA PE 75MM PN16 (BLQ)</t>
  </si>
  <si>
    <t>TAPON CAMARA FABRIC MAN 200MM</t>
  </si>
  <si>
    <t>TB LISO EXT 40MM QS RDE20 5M GRIS (BLQ)</t>
  </si>
  <si>
    <t>TB LISO EXT 50MM QS RDE25 5M GRIS (BLQ)</t>
  </si>
  <si>
    <t>TB PRE 32MM PE100 150M PN10 (BLQ)</t>
  </si>
  <si>
    <t>TEE PE 90MM TERMOENSAMBL PE100PN10 (BLQ)</t>
  </si>
  <si>
    <t>RED QS PVC EXC 80X40MM GRIS</t>
  </si>
  <si>
    <t>TB ALC NOVALO60PS103M-UNIO60 PS10</t>
  </si>
  <si>
    <t>TB ALC NOVALOC 51 3M - UNION 51 (BLQ)</t>
  </si>
  <si>
    <t>BASE CAMARA INSP 600X250MM 30 FIJA (BLQ)</t>
  </si>
  <si>
    <t>BASE CAMARA INSP 600X250MM 60 FIJA (BLQ)</t>
  </si>
  <si>
    <t>BASE CAMARA INSP 600X250MM TEEFIJA (BLQ)</t>
  </si>
  <si>
    <t>BASE CAMARA INS600X250MMDOBTEEFIJA (BLQ)</t>
  </si>
  <si>
    <t>BASE CAMARA INSP 600X315MM TEEFIJA (BLQ)</t>
  </si>
  <si>
    <t>BASE CAMAR INS 600X315MMDOBTEEFIJA (BLQ)</t>
  </si>
  <si>
    <t>BASE CAMARA INSP 1000X200MM 30FIJA (BLQ)</t>
  </si>
  <si>
    <t>BASE CAMAR INS1000X200MMDOBTEEFIJA (BLQ)</t>
  </si>
  <si>
    <t>BASE CAMARA INSP 1000X250MM 30FIJA (BLQ)</t>
  </si>
  <si>
    <t>BASE CAMARA INSP 1000X250MM 45FIJA (BLQ)</t>
  </si>
  <si>
    <t>BASE CAMARA INSP 1000X250MM 90FIJA (BLQ)</t>
  </si>
  <si>
    <t>BASE CAMAR INS1000X250MMDOBTEEFIJA (BLQ)</t>
  </si>
  <si>
    <t>BASE CAMARINS1000X315MMINICIALFIJA (BLQ)</t>
  </si>
  <si>
    <t>BASE CAMARA INSP 1000X315MM 30FIJA (BLQ)</t>
  </si>
  <si>
    <t>BASE CAMARA INSP 1000X315MM 45FIJA (BLQ)</t>
  </si>
  <si>
    <t>BASE CAMARA INSP 1000X315MM 90FIJA (BLQ)</t>
  </si>
  <si>
    <t>BASE CAMARA INS 1000X315MMTEE FIJA (BLQ)</t>
  </si>
  <si>
    <t>BASE CAMAR INS1000X315MMDOBTEEFIJA (BLQ)</t>
  </si>
  <si>
    <t>REGISTCONTROL1/2DZRSALIDA AUXNYLON (BLQ)</t>
  </si>
  <si>
    <t>UNION ALC S5 1100MM(45) NOVAFORT</t>
  </si>
  <si>
    <t>UNION ALC S5 1200MM(48) NOVAFORT (BLQ)</t>
  </si>
  <si>
    <t>AQUACELL NG UNIDAD BASE</t>
  </si>
  <si>
    <t>AQUACELL NG TAPA DE FONDO</t>
  </si>
  <si>
    <t>AQUACELL NG TAPA LATERAL</t>
  </si>
  <si>
    <t>AQUACELL NG CONECTOR TB (200MM - 315MM)</t>
  </si>
  <si>
    <t>AQUACELL NG CONEXION INSPECCION 425MM</t>
  </si>
  <si>
    <t>ELEVADOR CAJA 400X1500MM</t>
  </si>
  <si>
    <t>Amort/Almac</t>
  </si>
  <si>
    <t>Volumen (m³)</t>
  </si>
  <si>
    <t>Q(Lps)</t>
  </si>
  <si>
    <t>Cantidad de Celdas Aquacell</t>
  </si>
  <si>
    <t>* Las tuberías de rebose sirven como sistemas de emergencia cuando ocurren eventos de tormenta extremos, incluso superiores al estimado en esta hoja de cálculo.</t>
  </si>
  <si>
    <t>* Esta herramienta contempla el dimensionamiento de un único valor de caudal de rebose. Por lo que, para un valor de caudal que supere la capacidad de la tubería se agregan más conexiones del mismo diámetro.</t>
  </si>
  <si>
    <t>* La tubería de descarga es la que controla la salida de caudal en tanques de amortiguación y de aprovechamiento de aguas lluvias. El tiempo de vaciado del tanque estará en función del diámetro interno de esta tubería.</t>
  </si>
  <si>
    <t>ESQUEMA CELDA NG Y TANQUE</t>
  </si>
  <si>
    <t>Se revisa que para las dimensiones ingresadas el volumen del tanque sea igual o mayor al volumen requerido.</t>
  </si>
  <si>
    <t>Define cuantas cámaras eyectoras (tipo tanque) necesitas</t>
  </si>
  <si>
    <t>Define la profundidad total de la cámara (tomada desde la cota rasante hasta el fondo de la cámara)</t>
  </si>
  <si>
    <t>Define cuantas cámaras desarenadoras (tipo tanque) necesitas</t>
  </si>
  <si>
    <t>Entrada 1</t>
  </si>
  <si>
    <t>Entrada 2</t>
  </si>
  <si>
    <t>Entrada 3</t>
  </si>
  <si>
    <t>Entrada 4</t>
  </si>
  <si>
    <t>Entrada 5</t>
  </si>
  <si>
    <t>Entrada 6</t>
  </si>
  <si>
    <t>Buje 4"x2"</t>
  </si>
  <si>
    <t>Buje 4"x3"</t>
  </si>
  <si>
    <t>Adaptador NF-SAN 110x4"</t>
  </si>
  <si>
    <t>ENTRADA 1</t>
  </si>
  <si>
    <t>ENTRADA 2</t>
  </si>
  <si>
    <t>ENTRADA 3</t>
  </si>
  <si>
    <t>ENTRADA 4</t>
  </si>
  <si>
    <t>ENTRADA 5</t>
  </si>
  <si>
    <t>ENTRADA 6</t>
  </si>
  <si>
    <t>Adaptador AQ NG-315x200</t>
  </si>
  <si>
    <t>ELEVADOR CAJA 400X2000MM</t>
  </si>
  <si>
    <t>Carga aprox. de Tráfico</t>
  </si>
  <si>
    <t>Indicar en que zona se va a encontrar ubicada el tanque Aquacell.</t>
  </si>
  <si>
    <t>Profundidad a la que se va a ubicar el tanque Aquacell.</t>
  </si>
  <si>
    <r>
      <t>Determinar el número de niveles o capas que tendrá el tanque (</t>
    </r>
    <r>
      <rPr>
        <b/>
        <sz val="11"/>
        <color theme="0"/>
        <rFont val="PT Sans Narrow"/>
        <family val="2"/>
      </rPr>
      <t>Ingresar sólo números enteros</t>
    </r>
    <r>
      <rPr>
        <sz val="11"/>
        <color theme="0"/>
        <rFont val="PT Sans Narrow"/>
        <family val="2"/>
      </rPr>
      <t>).</t>
    </r>
  </si>
  <si>
    <t>Distancia desde el nivel de superficie, terreno o rasante hasta el fondo del tanque.</t>
  </si>
  <si>
    <r>
      <t xml:space="preserve">* Esta herramienta contempla el dimensionamiento de la tubería de salida. Para verificar el valor o valores que podría tener esta tubería, ve a la sección de </t>
    </r>
    <r>
      <rPr>
        <i/>
        <sz val="11"/>
        <color theme="0"/>
        <rFont val="PT Sans Narrow"/>
        <family val="2"/>
      </rPr>
      <t>Tiempo de Vaciado</t>
    </r>
    <r>
      <rPr>
        <sz val="11"/>
        <color theme="0"/>
        <rFont val="PT Sans Narrow"/>
        <family val="2"/>
      </rPr>
      <t>.</t>
    </r>
  </si>
  <si>
    <t>Número de Capas Aquacell que tendrá el tanque</t>
  </si>
  <si>
    <t>Cantidad de unidades Celda Aquacell</t>
  </si>
  <si>
    <t xml:space="preserve">No. De Rollos Geomembrana </t>
  </si>
  <si>
    <t xml:space="preserve">No. De Rollos Geotextil </t>
  </si>
  <si>
    <t>UND</t>
  </si>
  <si>
    <t>Unión Novafort 315mm</t>
  </si>
  <si>
    <t>Se debe garantizar un recubrimiento mínimo de 0.75m sobre toda el área del tanque si se ubica bajo un parqueadero o zona vehicular; si se ubica bajo una zona verde el recubrimiento mínimo será de 0.50m. El volumen del tanque se puede ajustar a cualquier forma geométrica.</t>
  </si>
  <si>
    <t xml:space="preserve">SISTEMA AQUACELL DE PAVCO WAVIN® </t>
  </si>
  <si>
    <t>Departamento técnico de Tubosistemas e ingeniería</t>
  </si>
  <si>
    <t>Teléfono: (+57)(601) 782 5000 Ext: 1192</t>
  </si>
  <si>
    <t>Precios de lista, sin descuentos. Esta es una propuesta netamente técnica, no es una cotización.  La geomembrana se vende por metro cuadrado, se cotiza en dólares y se liquida con la TRM del día del montaje de la Orden de Compra.  El geotextil se cotiza en pesos colombianos y se vende por rollos. El precio indicado en este despiece es un valor de referencia que puede variar.</t>
  </si>
  <si>
    <t>Es necesario tener antes de la entrada o entradas al tanque una trampa de sólidos que retenga estos elementos para evitar colmatación en el tanque. El número de celdas en el diseño definitivo puede variar un poco respecto a la inclusión de celdas para conexión de tuberías o reboses.</t>
  </si>
  <si>
    <t>TIPOS</t>
  </si>
  <si>
    <t>CELDAS</t>
  </si>
  <si>
    <t>Largo: 1 m
Ancho: 0.5 m
Altura: 0.39 m</t>
  </si>
  <si>
    <t>Largo: 1.2 m
Ancho: 0.6 m
Altura: 0.40 m (con tapa de fondo 0.425 m)</t>
  </si>
  <si>
    <t>Volumen bruto: 195 lt
Volumen útil: 185 lt
Relación de almacenamiento: 95%</t>
  </si>
  <si>
    <t>Volumen bruto: 288 lt (con tapa de fondo 306 lt)
Volumen útil: 273.6 lt
Relación de almacenamiento: 95% (80% versión extrareforzada)</t>
  </si>
  <si>
    <t>Inspeccionable: No
Diámetro de conexión máximo: 355 mm (14")
Material: Polipropileno</t>
  </si>
  <si>
    <t>Inspeccionable: Si (diámetro de inspección 250 mm)
Diámetro de conexión máximo: 315 mm (12")
Material: Polipropileno reciclado</t>
  </si>
  <si>
    <t>Prof mínima con carga de tráfico por llanta hasta de 1 Ton: 0.30m
Prof mínima con carga de tráfico por llanta hasta de 10 Ton: 0.75m
Profundidad máxima: 4.40 m (versión extrarefozada hasta 8 m)</t>
  </si>
  <si>
    <t>Los valores mostrado en la tabla superior, corresponden datos de caudal y velocidad de salida en función de la lámina de agua (H) que podría existir en el tanque a medida que este va evacuando las aguas. Esto fue calculado con base en el teorema de Torricelli, adoptando un coeficiente de descarga  (Cd) de 0.82.</t>
  </si>
  <si>
    <t>Tipo de tanque</t>
  </si>
  <si>
    <t>Cantidad de tapas de fondo</t>
  </si>
  <si>
    <t>Cantidad de tapas laterales</t>
  </si>
  <si>
    <t>Elevador tapa de inspección Aquacell NG</t>
  </si>
  <si>
    <t>Ref Elevador</t>
  </si>
  <si>
    <t>HIDROSELLO AQUACELL NG 425MM</t>
  </si>
  <si>
    <r>
      <t>angela.donoso@wavin.com - andres.marin@wavin.com</t>
    </r>
    <r>
      <rPr>
        <sz val="9"/>
        <rFont val="Arial"/>
        <family val="2"/>
      </rPr>
      <t xml:space="preserve"> - </t>
    </r>
    <r>
      <rPr>
        <u/>
        <sz val="9"/>
        <color indexed="12"/>
        <rFont val="Arial"/>
        <family val="2"/>
      </rPr>
      <t>juan.solorzano@wavin.com - juan.zambrano@wavin.com</t>
    </r>
  </si>
  <si>
    <t>Aquacell NG</t>
  </si>
  <si>
    <t>Prof mínima con carga de tráfico por llanta hasta de 1 Ton: 0.30m
Prof mínima con carga de tráfico por llanta hasta de 10 Ton: 0.8m</t>
  </si>
  <si>
    <t>Chequeo de profundidad</t>
  </si>
  <si>
    <t>Cota de nivel freático</t>
  </si>
  <si>
    <t>Dato calculado con base en lo consigando en la hoja datos de proyecto</t>
  </si>
  <si>
    <t>Valor de cota o nivel del terreno, vía o rasante en donde estará ubicado el tanque Aquacell</t>
  </si>
  <si>
    <t>Valor de cota o nivel donde se encuentra la parte superior del tanque Aquacell</t>
  </si>
  <si>
    <t>En caso de tener más de un tipo de suelo o estrcutura en el recubrimiento (Como por ejemplo una placa en concreto) deberás poner un valor promedio representativo para el peso especifico</t>
  </si>
  <si>
    <t>Peso especifico (kg/m³):</t>
  </si>
  <si>
    <t>Peso especifico seco (kg/m³):</t>
  </si>
  <si>
    <r>
      <t xml:space="preserve">Ángulo de fricción </t>
    </r>
    <r>
      <rPr>
        <b/>
        <sz val="11"/>
        <color theme="0"/>
        <rFont val="Calibri"/>
        <family val="2"/>
      </rPr>
      <t>φ (°)</t>
    </r>
    <r>
      <rPr>
        <b/>
        <sz val="8.8000000000000007"/>
        <color theme="0"/>
        <rFont val="PT Sans Narrow"/>
        <family val="2"/>
      </rPr>
      <t>:</t>
    </r>
  </si>
  <si>
    <t>Chequeo de celdas extrareforzadas</t>
  </si>
  <si>
    <t>Caracteristicas de algunos suelos</t>
  </si>
  <si>
    <t>Tipo de suelo</t>
  </si>
  <si>
    <t>Peso Específico</t>
  </si>
  <si>
    <t>Ángulo de Fricción Interna</t>
  </si>
  <si>
    <t>Seco</t>
  </si>
  <si>
    <t>Saturado</t>
  </si>
  <si>
    <t>Arcilla/Arena</t>
  </si>
  <si>
    <t>Material granular angular</t>
  </si>
  <si>
    <t>Material granular redondeado</t>
  </si>
  <si>
    <t>Suelo Franco</t>
  </si>
  <si>
    <t>Turba</t>
  </si>
  <si>
    <t>Arena Compactada</t>
  </si>
  <si>
    <t>Arena no compactada</t>
  </si>
  <si>
    <t>Arena muy bien compactada</t>
  </si>
  <si>
    <t>Suelo Franco-arenoso</t>
  </si>
  <si>
    <t>Se chequea que el recubrimiento del tanque y la profundidad máxima del mismo cumplan con las características de resistencia estructural a largo plazo de las celdas. Para ello, se usan las características del suelo mostradas en la tabla de la derecha, las cuales puedes cambiar.</t>
  </si>
  <si>
    <t>Características del suelo:</t>
  </si>
  <si>
    <t>Si en el chequeo de profundidad te aparece alguna advertencia. El uso de celdas extrareforzadas podría ayudar a resolver este problema, sin embargo ten en cuenta que se aumenta el número de celdas, la altura total del tanque y se reduce la capacidad de almacenamiento.</t>
  </si>
  <si>
    <t>Tipo de eje</t>
  </si>
  <si>
    <t>Eje tandem</t>
  </si>
  <si>
    <t>Eje trídem</t>
  </si>
  <si>
    <t>Eje Sencillo</t>
  </si>
  <si>
    <t>Dos Llantas</t>
  </si>
  <si>
    <t>Cuatro Llantas</t>
  </si>
  <si>
    <t xml:space="preserve">Seis Llantas </t>
  </si>
  <si>
    <t>Ocho Llantas</t>
  </si>
  <si>
    <t>6 Llantas</t>
  </si>
  <si>
    <t>8 Llantas</t>
  </si>
  <si>
    <t>10 Llantas</t>
  </si>
  <si>
    <t>12 Llantas</t>
  </si>
  <si>
    <t>Peso máximo por eje (kg)</t>
  </si>
  <si>
    <t>Pesos máximos por eje*</t>
  </si>
  <si>
    <t>CONFIGURACIÓN DE LOS VEHÍCULOS DE CARGA DE ACUERDO CON LA DISPOSICIÓN DE SUS EJES*</t>
  </si>
  <si>
    <t>*Tabla tomada de la norma NTC 4788 con referencia a la resolución 4100 de 2004 del Ministerio de transporte de Colombia</t>
  </si>
  <si>
    <t>TOTAL A ALMACENAR</t>
  </si>
  <si>
    <t>Q Descarga</t>
  </si>
  <si>
    <t>Q Total</t>
  </si>
  <si>
    <t>EL CÁLCULO DEL VOLUMEN A ALMACENAR, SE REALIZA MEDIANTE LA APLICACIÓN DEL HIDROGRAMA UNITARIO DEL SOIL CONSERVATION SERVICE (ANTIGUAMENTE SCS AHORA NRCS) DE LOS EEUU. LA APLICACIÓN DE ESTE METODO SE REALIZA DE MANERA MODIFICADA A LA ESTABLECIDA, UTILIZANDO EL MÉTODO RACIONAL PARA ESTIMAR EL CAUDAL PICO (Qp) Y SUPONIENDO UN TIEMPO PICO POR DEFECTO DE 36 MINUTOS (DANDO COMO RESULTADO UNA LLUVIA DE DURACIÓN DE 3 HORAS). LA INFORMACIÓN ACERCA DE ESTE METODO SE PUEDE ENCONTRAR EN EL SIGUIENTE LINK:</t>
  </si>
  <si>
    <t>Esta celda cuenta con una ventana de inspección colocada cada 100 m³ o cada 30 metros en caso de que el tanque exceda alguna de las dos variables. Debido a esto, no es obligatorio el uso de una trampa de sólidos. Sin embargo, puede utilizarse como opción de pretratamiento de las aguas lluvias si se requiere.</t>
  </si>
  <si>
    <t>En casos donde la carga de tráfico aproximada por llanta del vehículo es hasta 1 Tonelada, los recubrimientos mínimos puede ser hasta de 0.30 metros. En casos donde la carga de tráfico sea de ahsta 10 Toneladas por llanta, se debe garantizar por lo menos 0.75 metros, con la versión reforzada se puede lograr hasta 0.55 metros de recubrimiento mínimo. Esto con una previa verificación estrcutural del proyecto.</t>
  </si>
  <si>
    <t>Escaleras</t>
  </si>
  <si>
    <t>Kits Escalera</t>
  </si>
  <si>
    <t>Kits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</si>
</sst>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quot;$&quot;\ * #,##0_-;\-&quot;$&quot;\ * #,##0_-;_-&quot;$&quot;\ * &quot;-&quot;_-;_-@_-"/>
    <numFmt numFmtId="164" formatCode="_(* #,##0.00_);_(* \(#,##0.00\);_(* &quot;-&quot;??_);_(@_)"/>
    <numFmt numFmtId="165" formatCode="_(&quot;$&quot;\ * #,##0.00_);_(&quot;$&quot;\ * \(#,##0.00\);_(&quot;$&quot;\ * &quot;-&quot;??_);_(@_)"/>
    <numFmt numFmtId="166" formatCode="_ &quot;$&quot;\ * #,##0.00_ ;_ &quot;$&quot;\ * \-#,##0.00_ ;_ &quot;$&quot;\ * &quot;-&quot;??_ ;_ @_ "/>
    <numFmt numFmtId="167" formatCode="#,##0.0"/>
    <numFmt numFmtId="168" formatCode="0.0"/>
    <numFmt numFmtId="169" formatCode="_(&quot;$&quot;\ * #,##0_);_(&quot;$&quot;\ * \(#,##0\);_(&quot;$&quot;\ * &quot;-&quot;??_);_(@_)"/>
    <numFmt numFmtId="170" formatCode="0.000"/>
    <numFmt numFmtId="171" formatCode="[$-240A]d&quot; de &quot;mmmm&quot; de &quot;yyyy;@"/>
    <numFmt numFmtId="172" formatCode="0.00\ &quot;metro(s)&quot;"/>
    <numFmt numFmtId="173" formatCode="_-[$$-240A]\ * #,##0.00_-;\-[$$-240A]\ * #,##0.00_-;_-[$$-240A]\ * &quot;-&quot;??_-;_-@_-"/>
    <numFmt numFmtId="174" formatCode="0.0\ &quot;Ton&quot;"/>
    <numFmt numFmtId="175" formatCode="0&quot; kg/m³&quot;\ "/>
    <numFmt numFmtId="176" formatCode="0&quot;°&quot;\ "/>
    <numFmt numFmtId="177" formatCode="0.00\ &quot;m³&quot;"/>
  </numFmts>
  <fonts count="86" x14ac:knownFonts="1">
    <font>
      <sz val="11"/>
      <color theme="1"/>
      <name val="Calibri"/>
      <family val="2"/>
      <scheme val="minor"/>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Arial"/>
      <family val="2"/>
    </font>
    <font>
      <b/>
      <sz val="9"/>
      <color indexed="9"/>
      <name val="Arial"/>
      <family val="2"/>
    </font>
    <font>
      <b/>
      <sz val="9"/>
      <color indexed="48"/>
      <name val="Arial"/>
      <family val="2"/>
    </font>
    <font>
      <b/>
      <sz val="9"/>
      <name val="Arial"/>
      <family val="2"/>
    </font>
    <font>
      <sz val="9"/>
      <color theme="1"/>
      <name val="Calibri"/>
      <family val="2"/>
      <scheme val="minor"/>
    </font>
    <font>
      <u/>
      <sz val="10"/>
      <color indexed="12"/>
      <name val="Arial"/>
      <family val="2"/>
    </font>
    <font>
      <sz val="8"/>
      <color theme="1"/>
      <name val="Calibri"/>
      <family val="2"/>
      <scheme val="minor"/>
    </font>
    <font>
      <u/>
      <sz val="8"/>
      <color indexed="12"/>
      <name val="Arial"/>
      <family val="2"/>
    </font>
    <font>
      <sz val="8"/>
      <color rgb="FF0000FF"/>
      <name val="Arial"/>
      <family val="2"/>
    </font>
    <font>
      <b/>
      <u/>
      <sz val="8"/>
      <color indexed="12"/>
      <name val="Arial"/>
      <family val="2"/>
    </font>
    <font>
      <b/>
      <sz val="9"/>
      <color theme="1"/>
      <name val="Calibri"/>
      <family val="2"/>
      <scheme val="minor"/>
    </font>
    <font>
      <sz val="9"/>
      <color indexed="48"/>
      <name val="Arial"/>
      <family val="2"/>
    </font>
    <font>
      <sz val="9"/>
      <color indexed="9"/>
      <name val="Arial"/>
      <family val="2"/>
    </font>
    <font>
      <b/>
      <sz val="9"/>
      <color indexed="62"/>
      <name val="Arial"/>
      <family val="2"/>
    </font>
    <font>
      <sz val="9"/>
      <color theme="1"/>
      <name val="Arial"/>
      <family val="2"/>
    </font>
    <font>
      <sz val="9"/>
      <color indexed="12"/>
      <name val="Arial"/>
      <family val="2"/>
    </font>
    <font>
      <b/>
      <sz val="9"/>
      <color indexed="12"/>
      <name val="Arial"/>
      <family val="2"/>
    </font>
    <font>
      <b/>
      <sz val="10"/>
      <name val="Arial"/>
      <family val="2"/>
    </font>
    <font>
      <sz val="9"/>
      <color rgb="FFFF0000"/>
      <name val="Calibri"/>
      <family val="2"/>
      <scheme val="minor"/>
    </font>
    <font>
      <b/>
      <sz val="9"/>
      <color rgb="FFFF0000"/>
      <name val="Arial"/>
      <family val="2"/>
    </font>
    <font>
      <sz val="10"/>
      <name val="Tahoma"/>
      <family val="2"/>
    </font>
    <font>
      <sz val="11"/>
      <name val="Calibri"/>
      <family val="2"/>
      <scheme val="minor"/>
    </font>
    <font>
      <b/>
      <sz val="11"/>
      <name val="Calibri"/>
      <family val="2"/>
      <scheme val="minor"/>
    </font>
    <font>
      <b/>
      <sz val="15"/>
      <color theme="0"/>
      <name val="Calibri"/>
      <family val="2"/>
      <scheme val="minor"/>
    </font>
    <font>
      <sz val="10"/>
      <color theme="1"/>
      <name val="Calibri"/>
      <family val="2"/>
      <scheme val="minor"/>
    </font>
    <font>
      <b/>
      <sz val="11"/>
      <color indexed="9"/>
      <name val="Arial"/>
      <family val="2"/>
    </font>
    <font>
      <b/>
      <sz val="10"/>
      <color indexed="62"/>
      <name val="Arial"/>
      <family val="2"/>
    </font>
    <font>
      <b/>
      <sz val="10"/>
      <color indexed="48"/>
      <name val="Arial"/>
      <family val="2"/>
    </font>
    <font>
      <b/>
      <u/>
      <sz val="10"/>
      <color indexed="12"/>
      <name val="Arial"/>
      <family val="2"/>
    </font>
    <font>
      <b/>
      <sz val="9"/>
      <color rgb="FF00B050"/>
      <name val="Arial"/>
      <family val="2"/>
    </font>
    <font>
      <b/>
      <i/>
      <sz val="12"/>
      <color theme="1"/>
      <name val="Calibri"/>
      <family val="2"/>
      <scheme val="minor"/>
    </font>
    <font>
      <b/>
      <sz val="12"/>
      <color theme="0"/>
      <name val="PT Sans Narrow"/>
      <family val="2"/>
    </font>
    <font>
      <b/>
      <sz val="26"/>
      <color theme="0"/>
      <name val="PT Sans Narrow"/>
      <family val="2"/>
    </font>
    <font>
      <b/>
      <sz val="45"/>
      <color theme="0"/>
      <name val="PT Sans Narrow"/>
      <family val="2"/>
    </font>
    <font>
      <b/>
      <sz val="22"/>
      <color rgb="FFFF0000"/>
      <name val="PT Sans Narrow"/>
      <family val="2"/>
    </font>
    <font>
      <b/>
      <sz val="16"/>
      <color theme="0"/>
      <name val="PT Sans Narrow"/>
      <family val="2"/>
    </font>
    <font>
      <b/>
      <sz val="11"/>
      <color theme="0"/>
      <name val="PT Sans Narrow"/>
      <family val="2"/>
    </font>
    <font>
      <b/>
      <sz val="14"/>
      <color theme="0"/>
      <name val="PT Sans Narrow"/>
      <family val="2"/>
    </font>
    <font>
      <sz val="14"/>
      <color theme="0"/>
      <name val="PT Sans Narrow"/>
      <family val="2"/>
    </font>
    <font>
      <b/>
      <sz val="55"/>
      <color theme="0"/>
      <name val="PT Sans Narrow"/>
      <family val="2"/>
    </font>
    <font>
      <sz val="11"/>
      <color theme="0"/>
      <name val="PT Sans Narrow"/>
      <family val="2"/>
    </font>
    <font>
      <b/>
      <sz val="11"/>
      <color theme="1"/>
      <name val="PT Sans Narrow"/>
      <family val="2"/>
    </font>
    <font>
      <sz val="11"/>
      <color theme="1"/>
      <name val="PT Sans Narrow"/>
      <family val="2"/>
    </font>
    <font>
      <sz val="11"/>
      <color rgb="FF2B2B62"/>
      <name val="Calibri"/>
      <family val="2"/>
      <scheme val="minor"/>
    </font>
    <font>
      <sz val="12"/>
      <color theme="0"/>
      <name val="PT Sans Narrow"/>
      <family val="2"/>
    </font>
    <font>
      <b/>
      <sz val="65"/>
      <color theme="0"/>
      <name val="PT Sans Narrow"/>
      <family val="2"/>
    </font>
    <font>
      <b/>
      <sz val="13"/>
      <color theme="0"/>
      <name val="PT Sans Narrow"/>
      <family val="2"/>
    </font>
    <font>
      <b/>
      <sz val="14"/>
      <color rgb="FFFF0000"/>
      <name val="PT Sans Narrow"/>
      <family val="2"/>
    </font>
    <font>
      <b/>
      <sz val="20"/>
      <color theme="0"/>
      <name val="PT Sans Narrow"/>
      <family val="2"/>
    </font>
    <font>
      <b/>
      <i/>
      <sz val="11"/>
      <color theme="0"/>
      <name val="PT Sans Narrow"/>
      <family val="2"/>
    </font>
    <font>
      <b/>
      <i/>
      <sz val="12"/>
      <color theme="0"/>
      <name val="PT Sans Narrow"/>
      <family val="2"/>
    </font>
    <font>
      <b/>
      <i/>
      <sz val="14"/>
      <color theme="0"/>
      <name val="PT Sans Narrow"/>
      <family val="2"/>
    </font>
    <font>
      <b/>
      <sz val="40"/>
      <color theme="0"/>
      <name val="PT Sans Narrow"/>
      <family val="2"/>
    </font>
    <font>
      <sz val="55"/>
      <color theme="1"/>
      <name val="Calibri"/>
      <family val="2"/>
      <scheme val="minor"/>
    </font>
    <font>
      <b/>
      <sz val="50"/>
      <color theme="0"/>
      <name val="PT Sans Narrow"/>
      <family val="2"/>
    </font>
    <font>
      <sz val="50"/>
      <color theme="1"/>
      <name val="Calibri"/>
      <family val="2"/>
      <scheme val="minor"/>
    </font>
    <font>
      <sz val="8"/>
      <name val="Calibri"/>
      <family val="2"/>
      <scheme val="minor"/>
    </font>
    <font>
      <i/>
      <sz val="11"/>
      <color theme="0"/>
      <name val="PT Sans Narrow"/>
      <family val="2"/>
    </font>
    <font>
      <sz val="11"/>
      <color rgb="FF17A2DB"/>
      <name val="Calibri"/>
      <family val="2"/>
      <scheme val="minor"/>
    </font>
    <font>
      <b/>
      <sz val="10"/>
      <color theme="0"/>
      <name val="PT Sans Narrow"/>
      <family val="2"/>
    </font>
    <font>
      <u/>
      <sz val="9"/>
      <color indexed="12"/>
      <name val="Arial"/>
      <family val="2"/>
    </font>
    <font>
      <sz val="11"/>
      <color rgb="FF00B0F0"/>
      <name val="Calibri"/>
      <family val="2"/>
      <scheme val="minor"/>
    </font>
    <font>
      <b/>
      <sz val="11"/>
      <color theme="0"/>
      <name val="Calibri"/>
      <family val="2"/>
    </font>
    <font>
      <b/>
      <sz val="8.8000000000000007"/>
      <color theme="0"/>
      <name val="PT Sans Narrow"/>
      <family val="2"/>
    </font>
    <font>
      <sz val="11"/>
      <name val="PT Sans Narrow"/>
      <family val="2"/>
    </font>
    <font>
      <b/>
      <i/>
      <sz val="13.5"/>
      <name val="PT Sans Narrow"/>
      <family val="2"/>
    </font>
    <font>
      <b/>
      <i/>
      <sz val="13"/>
      <color theme="0"/>
      <name val="PT Sans Narrow"/>
      <family val="2"/>
    </font>
  </fonts>
  <fills count="4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FFFF00"/>
        <bgColor indexed="64"/>
      </patternFill>
    </fill>
    <fill>
      <patternFill patternType="solid">
        <fgColor rgb="FF2B2B62"/>
        <bgColor indexed="64"/>
      </patternFill>
    </fill>
    <fill>
      <patternFill patternType="solid">
        <fgColor rgb="FF00B050"/>
        <bgColor indexed="64"/>
      </patternFill>
    </fill>
    <fill>
      <patternFill patternType="solid">
        <fgColor rgb="FF17A2DB"/>
        <bgColor indexed="64"/>
      </patternFill>
    </fill>
    <fill>
      <patternFill patternType="solid">
        <fgColor theme="0" tint="-0.499984740745262"/>
        <bgColor indexed="64"/>
      </patternFill>
    </fill>
    <fill>
      <patternFill patternType="solid">
        <fgColor indexed="9"/>
        <bgColor indexed="64"/>
      </patternFill>
    </fill>
  </fills>
  <borders count="74">
    <border>
      <left/>
      <right/>
      <top/>
      <bottom/>
      <diagonal/>
    </border>
    <border>
      <left style="medium">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theme="0"/>
      </left>
      <right/>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s>
  <cellStyleXfs count="49">
    <xf numFmtId="0" fontId="0" fillId="0" borderId="0"/>
    <xf numFmtId="0" fontId="1" fillId="0" borderId="0"/>
    <xf numFmtId="166" fontId="1" fillId="0" borderId="0" applyFont="0" applyFill="0" applyBorder="0" applyAlignment="0" applyProtection="0"/>
    <xf numFmtId="0" fontId="3" fillId="0" borderId="0" applyNumberFormat="0" applyFill="0" applyBorder="0" applyAlignment="0" applyProtection="0"/>
    <xf numFmtId="0" fontId="4" fillId="0" borderId="2" applyNumberFormat="0" applyFill="0" applyAlignment="0" applyProtection="0"/>
    <xf numFmtId="0" fontId="5" fillId="0" borderId="3" applyNumberFormat="0" applyFill="0" applyAlignment="0" applyProtection="0"/>
    <xf numFmtId="0" fontId="6" fillId="0" borderId="4" applyNumberFormat="0" applyFill="0" applyAlignment="0" applyProtection="0"/>
    <xf numFmtId="0" fontId="6" fillId="0" borderId="0" applyNumberFormat="0" applyFill="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0" applyNumberFormat="0" applyBorder="0" applyAlignment="0" applyProtection="0"/>
    <xf numFmtId="0" fontId="10" fillId="6" borderId="5" applyNumberFormat="0" applyAlignment="0" applyProtection="0"/>
    <xf numFmtId="0" fontId="11" fillId="7" borderId="6" applyNumberFormat="0" applyAlignment="0" applyProtection="0"/>
    <xf numFmtId="0" fontId="12" fillId="7" borderId="5" applyNumberFormat="0" applyAlignment="0" applyProtection="0"/>
    <xf numFmtId="0" fontId="13" fillId="0" borderId="7" applyNumberFormat="0" applyFill="0" applyAlignment="0" applyProtection="0"/>
    <xf numFmtId="0" fontId="14" fillId="8" borderId="8" applyNumberFormat="0" applyAlignment="0" applyProtection="0"/>
    <xf numFmtId="0" fontId="15" fillId="0" borderId="0" applyNumberFormat="0" applyFill="0" applyBorder="0" applyAlignment="0" applyProtection="0"/>
    <xf numFmtId="0" fontId="2" fillId="9" borderId="9" applyNumberFormat="0" applyFont="0" applyAlignment="0" applyProtection="0"/>
    <xf numFmtId="0" fontId="16" fillId="0" borderId="0" applyNumberFormat="0" applyFill="0" applyBorder="0" applyAlignment="0" applyProtection="0"/>
    <xf numFmtId="0" fontId="17" fillId="0" borderId="10" applyNumberFormat="0" applyFill="0" applyAlignment="0" applyProtection="0"/>
    <xf numFmtId="0" fontId="18"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8" fillId="33" borderId="0" applyNumberFormat="0" applyBorder="0" applyAlignment="0" applyProtection="0"/>
    <xf numFmtId="0" fontId="24" fillId="0" borderId="0" applyNumberFormat="0" applyFill="0" applyBorder="0" applyAlignment="0" applyProtection="0">
      <alignment vertical="top"/>
      <protection locked="0"/>
    </xf>
    <xf numFmtId="165" fontId="2" fillId="0" borderId="0" applyFont="0" applyFill="0" applyBorder="0" applyAlignment="0" applyProtection="0"/>
    <xf numFmtId="0" fontId="1" fillId="0" borderId="0"/>
    <xf numFmtId="42" fontId="2" fillId="0" borderId="0" applyFont="0" applyFill="0" applyBorder="0" applyAlignment="0" applyProtection="0"/>
    <xf numFmtId="164" fontId="1" fillId="0" borderId="0" applyFont="0" applyFill="0" applyBorder="0" applyAlignment="0" applyProtection="0"/>
  </cellStyleXfs>
  <cellXfs count="521">
    <xf numFmtId="0" fontId="0" fillId="0" borderId="0" xfId="0"/>
    <xf numFmtId="0" fontId="26" fillId="2" borderId="0" xfId="44" applyFont="1" applyFill="1" applyBorder="1" applyAlignment="1" applyProtection="1">
      <alignment vertical="center"/>
    </xf>
    <xf numFmtId="0" fontId="27" fillId="2" borderId="0" xfId="44" applyFont="1" applyFill="1" applyBorder="1" applyAlignment="1" applyProtection="1">
      <alignment vertical="center"/>
    </xf>
    <xf numFmtId="0" fontId="28" fillId="2" borderId="0" xfId="44" applyFont="1" applyFill="1" applyBorder="1" applyAlignment="1" applyProtection="1">
      <alignment vertical="center"/>
    </xf>
    <xf numFmtId="0" fontId="28" fillId="0" borderId="0" xfId="44" applyFont="1" applyFill="1" applyBorder="1" applyAlignment="1" applyProtection="1">
      <alignment vertical="center"/>
    </xf>
    <xf numFmtId="0" fontId="47" fillId="0" borderId="0" xfId="44" applyFont="1" applyFill="1" applyBorder="1" applyAlignment="1" applyProtection="1">
      <alignment vertical="center"/>
    </xf>
    <xf numFmtId="0" fontId="0" fillId="0" borderId="0" xfId="0" applyAlignment="1">
      <alignment horizontal="center" vertical="center"/>
    </xf>
    <xf numFmtId="0" fontId="0" fillId="0" borderId="11" xfId="0" applyBorder="1" applyAlignment="1">
      <alignment horizontal="center"/>
    </xf>
    <xf numFmtId="0" fontId="40" fillId="0" borderId="11" xfId="0" applyFont="1" applyBorder="1"/>
    <xf numFmtId="0" fontId="36" fillId="2" borderId="0" xfId="0" applyFont="1" applyFill="1" applyAlignment="1">
      <alignment horizontal="left" wrapText="1"/>
    </xf>
    <xf numFmtId="0" fontId="36" fillId="2" borderId="0" xfId="0" applyFont="1" applyFill="1"/>
    <xf numFmtId="2" fontId="0" fillId="2" borderId="11" xfId="0" applyNumberFormat="1" applyFill="1" applyBorder="1" applyAlignment="1">
      <alignment horizontal="center" vertical="center"/>
    </xf>
    <xf numFmtId="1" fontId="0" fillId="2" borderId="11" xfId="0" applyNumberFormat="1" applyFill="1" applyBorder="1" applyAlignment="1">
      <alignment horizontal="center" vertical="center"/>
    </xf>
    <xf numFmtId="1" fontId="0" fillId="35" borderId="11" xfId="0" applyNumberFormat="1" applyFill="1" applyBorder="1" applyAlignment="1">
      <alignment horizontal="center" vertical="center"/>
    </xf>
    <xf numFmtId="1" fontId="15" fillId="0" borderId="11" xfId="0" applyNumberFormat="1" applyFont="1" applyBorder="1"/>
    <xf numFmtId="2" fontId="15" fillId="0" borderId="11" xfId="0" applyNumberFormat="1" applyFont="1" applyBorder="1"/>
    <xf numFmtId="0" fontId="0" fillId="0" borderId="11" xfId="0" applyBorder="1" applyAlignment="1">
      <alignment horizontal="center" vertical="center"/>
    </xf>
    <xf numFmtId="0" fontId="40" fillId="0" borderId="11" xfId="0" applyFont="1" applyBorder="1" applyAlignment="1">
      <alignment horizontal="center" vertical="center"/>
    </xf>
    <xf numFmtId="0" fontId="0" fillId="2" borderId="11" xfId="0" applyFill="1" applyBorder="1" applyAlignment="1">
      <alignment horizontal="center"/>
    </xf>
    <xf numFmtId="0" fontId="23" fillId="2" borderId="1" xfId="0" applyFont="1" applyFill="1" applyBorder="1" applyAlignment="1">
      <alignment vertical="center"/>
    </xf>
    <xf numFmtId="0" fontId="23" fillId="2" borderId="0" xfId="0" applyFont="1" applyFill="1" applyAlignment="1">
      <alignment vertical="center"/>
    </xf>
    <xf numFmtId="3" fontId="23" fillId="2" borderId="0" xfId="0" applyNumberFormat="1" applyFont="1" applyFill="1" applyAlignment="1">
      <alignment vertical="center"/>
    </xf>
    <xf numFmtId="3" fontId="29" fillId="2" borderId="0" xfId="0" applyNumberFormat="1" applyFont="1" applyFill="1" applyAlignment="1">
      <alignment horizontal="right" vertical="center"/>
    </xf>
    <xf numFmtId="0" fontId="23" fillId="0" borderId="0" xfId="0" applyFont="1"/>
    <xf numFmtId="3" fontId="29" fillId="0" borderId="0" xfId="0" applyNumberFormat="1" applyFont="1" applyAlignment="1">
      <alignment horizontal="right" vertical="center"/>
    </xf>
    <xf numFmtId="0" fontId="22" fillId="2" borderId="0" xfId="0" applyFont="1" applyFill="1" applyAlignment="1">
      <alignment vertical="center"/>
    </xf>
    <xf numFmtId="3" fontId="30" fillId="2" borderId="0" xfId="0" applyNumberFormat="1" applyFont="1" applyFill="1" applyAlignment="1">
      <alignment horizontal="right" vertical="center"/>
    </xf>
    <xf numFmtId="3" fontId="30" fillId="0" borderId="0" xfId="0" applyNumberFormat="1" applyFont="1" applyAlignment="1">
      <alignment horizontal="right" vertical="center"/>
    </xf>
    <xf numFmtId="0" fontId="19" fillId="2" borderId="0" xfId="0" applyFont="1" applyFill="1" applyAlignment="1">
      <alignment vertical="center"/>
    </xf>
    <xf numFmtId="3" fontId="19" fillId="2" borderId="0" xfId="0" applyNumberFormat="1" applyFont="1" applyFill="1" applyAlignment="1">
      <alignment horizontal="right" vertical="center"/>
    </xf>
    <xf numFmtId="3" fontId="19" fillId="0" borderId="0" xfId="0" applyNumberFormat="1" applyFont="1" applyAlignment="1">
      <alignment horizontal="right" vertical="center"/>
    </xf>
    <xf numFmtId="3" fontId="31" fillId="2" borderId="0" xfId="0" applyNumberFormat="1" applyFont="1" applyFill="1" applyAlignment="1">
      <alignment horizontal="right" vertical="center"/>
    </xf>
    <xf numFmtId="3" fontId="31" fillId="0" borderId="0" xfId="0" applyNumberFormat="1" applyFont="1" applyAlignment="1">
      <alignment horizontal="right" vertical="center"/>
    </xf>
    <xf numFmtId="0" fontId="20" fillId="0" borderId="0" xfId="0" applyFont="1" applyAlignment="1">
      <alignment vertical="center"/>
    </xf>
    <xf numFmtId="0" fontId="20" fillId="0" borderId="0" xfId="0" applyFont="1" applyAlignment="1">
      <alignment horizontal="center" vertical="center"/>
    </xf>
    <xf numFmtId="0" fontId="32" fillId="2" borderId="0" xfId="0" applyFont="1" applyFill="1" applyAlignment="1">
      <alignment vertical="center"/>
    </xf>
    <xf numFmtId="3" fontId="33" fillId="2" borderId="0" xfId="0" applyNumberFormat="1" applyFont="1" applyFill="1"/>
    <xf numFmtId="0" fontId="23" fillId="0" borderId="0" xfId="0" applyFont="1" applyAlignment="1">
      <alignment vertical="center"/>
    </xf>
    <xf numFmtId="49" fontId="33" fillId="0" borderId="0" xfId="0" applyNumberFormat="1" applyFont="1" applyAlignment="1">
      <alignment horizontal="right"/>
    </xf>
    <xf numFmtId="3" fontId="33" fillId="0" borderId="0" xfId="0" applyNumberFormat="1" applyFont="1" applyAlignment="1">
      <alignment horizontal="right"/>
    </xf>
    <xf numFmtId="0" fontId="21" fillId="2" borderId="0" xfId="0" applyFont="1" applyFill="1" applyAlignment="1">
      <alignment horizontal="center" vertical="center"/>
    </xf>
    <xf numFmtId="3" fontId="21" fillId="2" borderId="0" xfId="0" applyNumberFormat="1" applyFont="1" applyFill="1" applyAlignment="1">
      <alignment horizontal="center" vertical="center"/>
    </xf>
    <xf numFmtId="0" fontId="32" fillId="0" borderId="0" xfId="0" applyFont="1" applyAlignment="1">
      <alignment horizontal="center" vertical="center"/>
    </xf>
    <xf numFmtId="167" fontId="0" fillId="2" borderId="0" xfId="0" applyNumberFormat="1" applyFill="1" applyAlignment="1">
      <alignment horizontal="center" vertical="center"/>
    </xf>
    <xf numFmtId="3" fontId="0" fillId="2" borderId="0" xfId="0" applyNumberFormat="1" applyFill="1" applyAlignment="1">
      <alignment horizontal="center" vertical="center"/>
    </xf>
    <xf numFmtId="3" fontId="0" fillId="0" borderId="0" xfId="0" applyNumberFormat="1" applyAlignment="1">
      <alignment horizontal="center" vertical="center"/>
    </xf>
    <xf numFmtId="1" fontId="19" fillId="2" borderId="0" xfId="0" applyNumberFormat="1" applyFont="1" applyFill="1" applyAlignment="1">
      <alignment horizontal="center" vertical="center"/>
    </xf>
    <xf numFmtId="3" fontId="19" fillId="2" borderId="0" xfId="0" applyNumberFormat="1" applyFont="1" applyFill="1" applyAlignment="1">
      <alignment horizontal="center" vertical="center"/>
    </xf>
    <xf numFmtId="3" fontId="19" fillId="2" borderId="0" xfId="0" applyNumberFormat="1" applyFont="1" applyFill="1" applyAlignment="1">
      <alignment vertical="center"/>
    </xf>
    <xf numFmtId="3" fontId="19" fillId="0" borderId="0" xfId="0" applyNumberFormat="1" applyFont="1" applyAlignment="1">
      <alignment vertical="center"/>
    </xf>
    <xf numFmtId="3" fontId="23" fillId="0" borderId="0" xfId="0" applyNumberFormat="1" applyFont="1" applyAlignment="1">
      <alignment vertical="center"/>
    </xf>
    <xf numFmtId="0" fontId="23" fillId="2" borderId="0" xfId="0" applyFont="1" applyFill="1" applyAlignment="1">
      <alignment horizontal="center" vertical="center"/>
    </xf>
    <xf numFmtId="0" fontId="19" fillId="2" borderId="0" xfId="0" applyFont="1" applyFill="1" applyAlignment="1">
      <alignment vertical="center" wrapText="1"/>
    </xf>
    <xf numFmtId="0" fontId="19" fillId="0" borderId="0" xfId="0" applyFont="1" applyAlignment="1">
      <alignment vertical="center" wrapText="1"/>
    </xf>
    <xf numFmtId="0" fontId="19" fillId="2" borderId="0" xfId="0" applyFont="1" applyFill="1" applyAlignment="1">
      <alignment horizontal="justify" vertical="center" wrapText="1"/>
    </xf>
    <xf numFmtId="0" fontId="19" fillId="0" borderId="0" xfId="0" applyFont="1" applyAlignment="1">
      <alignment horizontal="justify" vertical="center" wrapText="1"/>
    </xf>
    <xf numFmtId="0" fontId="35" fillId="2" borderId="0" xfId="0" applyFont="1" applyFill="1" applyAlignment="1">
      <alignment vertical="center"/>
    </xf>
    <xf numFmtId="3" fontId="34" fillId="2" borderId="0" xfId="0" applyNumberFormat="1" applyFont="1" applyFill="1" applyAlignment="1">
      <alignment vertical="center"/>
    </xf>
    <xf numFmtId="3" fontId="34" fillId="0" borderId="0" xfId="0" applyNumberFormat="1" applyFont="1" applyAlignment="1">
      <alignment vertical="center"/>
    </xf>
    <xf numFmtId="0" fontId="23" fillId="2" borderId="0" xfId="0" applyFont="1" applyFill="1"/>
    <xf numFmtId="0" fontId="43" fillId="2" borderId="1" xfId="0" applyFont="1" applyFill="1" applyBorder="1" applyAlignment="1">
      <alignment vertical="center"/>
    </xf>
    <xf numFmtId="0" fontId="43" fillId="0" borderId="0" xfId="0" applyFont="1"/>
    <xf numFmtId="3" fontId="46" fillId="2" borderId="0" xfId="0" applyNumberFormat="1" applyFont="1" applyFill="1" applyAlignment="1">
      <alignment vertical="center" wrapText="1"/>
    </xf>
    <xf numFmtId="0" fontId="45" fillId="0" borderId="0" xfId="0" applyFont="1" applyAlignment="1">
      <alignment vertical="center"/>
    </xf>
    <xf numFmtId="0" fontId="1" fillId="0" borderId="0" xfId="0" applyFont="1" applyAlignment="1">
      <alignment horizontal="left" vertical="center"/>
    </xf>
    <xf numFmtId="0" fontId="43" fillId="0" borderId="0" xfId="0" applyFont="1" applyAlignment="1">
      <alignment vertical="center"/>
    </xf>
    <xf numFmtId="0" fontId="25" fillId="2" borderId="1" xfId="0" applyFont="1" applyFill="1" applyBorder="1" applyAlignment="1">
      <alignment vertical="center"/>
    </xf>
    <xf numFmtId="0" fontId="25" fillId="2" borderId="0" xfId="0" applyFont="1" applyFill="1" applyAlignment="1">
      <alignment vertical="center"/>
    </xf>
    <xf numFmtId="0" fontId="25" fillId="0" borderId="0" xfId="0" applyFont="1"/>
    <xf numFmtId="3" fontId="37" fillId="0" borderId="0" xfId="0" applyNumberFormat="1" applyFont="1" applyAlignment="1">
      <alignment vertical="center"/>
    </xf>
    <xf numFmtId="169" fontId="0" fillId="2" borderId="0" xfId="45" applyNumberFormat="1" applyFont="1" applyFill="1" applyBorder="1" applyAlignment="1" applyProtection="1">
      <alignment vertical="center"/>
    </xf>
    <xf numFmtId="0" fontId="37" fillId="35" borderId="0" xfId="0" applyFont="1" applyFill="1" applyAlignment="1">
      <alignment vertical="center" wrapText="1"/>
    </xf>
    <xf numFmtId="0" fontId="39" fillId="0" borderId="0" xfId="46" applyFont="1" applyAlignment="1">
      <alignment horizontal="center" vertical="center"/>
    </xf>
    <xf numFmtId="0" fontId="17" fillId="2" borderId="11" xfId="0" applyFont="1" applyFill="1" applyBorder="1" applyAlignment="1">
      <alignment horizontal="center" vertical="center"/>
    </xf>
    <xf numFmtId="169" fontId="17" fillId="2" borderId="11" xfId="0" applyNumberFormat="1" applyFont="1" applyFill="1" applyBorder="1" applyAlignment="1">
      <alignment vertical="center"/>
    </xf>
    <xf numFmtId="0" fontId="20" fillId="2" borderId="0" xfId="0" applyFont="1" applyFill="1" applyAlignment="1">
      <alignment vertical="center"/>
    </xf>
    <xf numFmtId="0" fontId="19" fillId="2" borderId="0" xfId="0" applyFont="1" applyFill="1" applyAlignment="1">
      <alignment horizontal="center" vertical="center" wrapText="1"/>
    </xf>
    <xf numFmtId="166" fontId="0" fillId="0" borderId="0" xfId="2" applyFont="1" applyAlignment="1">
      <alignment horizontal="center" vertical="center"/>
    </xf>
    <xf numFmtId="42" fontId="0" fillId="0" borderId="0" xfId="47" applyFont="1" applyAlignment="1">
      <alignment horizontal="center" vertical="center"/>
    </xf>
    <xf numFmtId="0" fontId="0" fillId="0" borderId="26" xfId="0" applyBorder="1" applyAlignment="1">
      <alignment horizontal="center" vertical="center"/>
    </xf>
    <xf numFmtId="0" fontId="17" fillId="0" borderId="25" xfId="0" applyFont="1" applyBorder="1" applyAlignment="1">
      <alignment horizontal="center" vertical="center"/>
    </xf>
    <xf numFmtId="0" fontId="0" fillId="0" borderId="30" xfId="0" applyBorder="1" applyAlignment="1">
      <alignment horizontal="center" vertical="center"/>
    </xf>
    <xf numFmtId="0" fontId="17" fillId="0" borderId="27" xfId="0" applyFont="1" applyBorder="1" applyAlignment="1">
      <alignment horizontal="center" vertical="center"/>
    </xf>
    <xf numFmtId="0" fontId="17" fillId="0" borderId="28" xfId="0" applyFont="1" applyBorder="1" applyAlignment="1">
      <alignment horizontal="center" vertical="center"/>
    </xf>
    <xf numFmtId="0" fontId="17" fillId="0" borderId="23" xfId="0" applyFont="1" applyBorder="1" applyAlignment="1">
      <alignment horizontal="center" vertical="center"/>
    </xf>
    <xf numFmtId="0" fontId="17" fillId="0" borderId="32" xfId="0" applyFont="1" applyBorder="1" applyAlignment="1">
      <alignment horizontal="center" vertical="center"/>
    </xf>
    <xf numFmtId="0" fontId="0" fillId="0" borderId="33"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34" xfId="0" applyBorder="1" applyAlignment="1">
      <alignment horizontal="center" vertical="center"/>
    </xf>
    <xf numFmtId="0" fontId="0" fillId="0" borderId="31" xfId="0" applyBorder="1" applyAlignment="1">
      <alignment horizontal="center" vertical="center"/>
    </xf>
    <xf numFmtId="0" fontId="17" fillId="0" borderId="35" xfId="0" applyFont="1" applyBorder="1" applyAlignment="1">
      <alignment horizontal="center" vertical="center"/>
    </xf>
    <xf numFmtId="0" fontId="17" fillId="0" borderId="36" xfId="0" applyFont="1" applyBorder="1" applyAlignment="1">
      <alignment horizontal="center" vertical="center"/>
    </xf>
    <xf numFmtId="0" fontId="17" fillId="0" borderId="39" xfId="0" applyFont="1" applyBorder="1" applyAlignment="1">
      <alignment horizontal="center" vertical="center"/>
    </xf>
    <xf numFmtId="170" fontId="0" fillId="0" borderId="11" xfId="0" applyNumberFormat="1" applyBorder="1" applyAlignment="1">
      <alignment horizontal="center" vertical="center"/>
    </xf>
    <xf numFmtId="170" fontId="0" fillId="0" borderId="29" xfId="0" applyNumberFormat="1" applyBorder="1" applyAlignment="1">
      <alignment horizontal="center" vertical="center"/>
    </xf>
    <xf numFmtId="170" fontId="0" fillId="0" borderId="30" xfId="0" applyNumberFormat="1" applyBorder="1" applyAlignment="1">
      <alignment horizontal="center" vertical="center"/>
    </xf>
    <xf numFmtId="170" fontId="0" fillId="0" borderId="31" xfId="0" applyNumberFormat="1" applyBorder="1" applyAlignment="1">
      <alignment horizontal="center" vertical="center"/>
    </xf>
    <xf numFmtId="0" fontId="17" fillId="0" borderId="0" xfId="0" applyFont="1" applyAlignment="1">
      <alignment horizontal="center" vertical="center"/>
    </xf>
    <xf numFmtId="0" fontId="0" fillId="2" borderId="0" xfId="0" applyFill="1"/>
    <xf numFmtId="0" fontId="18" fillId="2" borderId="0" xfId="0" applyFont="1" applyFill="1"/>
    <xf numFmtId="0" fontId="40" fillId="2" borderId="12" xfId="0" applyFont="1" applyFill="1" applyBorder="1" applyAlignment="1">
      <alignment horizontal="center"/>
    </xf>
    <xf numFmtId="0" fontId="1" fillId="2" borderId="0" xfId="1" applyFill="1"/>
    <xf numFmtId="0" fontId="1" fillId="2" borderId="11" xfId="1" applyFill="1" applyBorder="1" applyAlignment="1">
      <alignment horizontal="center" vertical="center"/>
    </xf>
    <xf numFmtId="0" fontId="1" fillId="2" borderId="11" xfId="1" applyFill="1" applyBorder="1" applyAlignment="1">
      <alignment horizontal="left" vertical="center"/>
    </xf>
    <xf numFmtId="0" fontId="40" fillId="2" borderId="17" xfId="0" applyFont="1" applyFill="1" applyBorder="1"/>
    <xf numFmtId="0" fontId="40" fillId="2" borderId="19" xfId="0" applyFont="1" applyFill="1" applyBorder="1"/>
    <xf numFmtId="0" fontId="40" fillId="2" borderId="22" xfId="0" applyFont="1" applyFill="1" applyBorder="1"/>
    <xf numFmtId="0" fontId="0" fillId="2" borderId="0" xfId="0" applyFill="1" applyAlignment="1">
      <alignment horizontal="right"/>
    </xf>
    <xf numFmtId="0" fontId="1" fillId="2" borderId="0" xfId="1" applyFill="1" applyAlignment="1">
      <alignment horizontal="right"/>
    </xf>
    <xf numFmtId="0" fontId="20" fillId="36" borderId="0" xfId="0" applyFont="1" applyFill="1" applyAlignment="1">
      <alignment horizontal="center" vertical="center" wrapText="1"/>
    </xf>
    <xf numFmtId="3" fontId="33" fillId="0" borderId="0" xfId="0" applyNumberFormat="1" applyFont="1"/>
    <xf numFmtId="0" fontId="48" fillId="2" borderId="0" xfId="0" applyFont="1" applyFill="1" applyAlignment="1">
      <alignment vertical="center"/>
    </xf>
    <xf numFmtId="0" fontId="20" fillId="38" borderId="0" xfId="0" applyFont="1" applyFill="1" applyAlignment="1">
      <alignment vertical="center"/>
    </xf>
    <xf numFmtId="3" fontId="22" fillId="2" borderId="0" xfId="0" applyNumberFormat="1" applyFont="1" applyFill="1" applyAlignment="1">
      <alignment horizontal="right" vertical="center"/>
    </xf>
    <xf numFmtId="0" fontId="22" fillId="2" borderId="0" xfId="0" applyFont="1" applyFill="1" applyAlignment="1">
      <alignment horizontal="right" vertical="center"/>
    </xf>
    <xf numFmtId="0" fontId="40" fillId="2" borderId="20" xfId="0" applyFont="1" applyFill="1" applyBorder="1"/>
    <xf numFmtId="0" fontId="40" fillId="2" borderId="21" xfId="0" applyFont="1" applyFill="1" applyBorder="1"/>
    <xf numFmtId="0" fontId="1" fillId="0" borderId="11" xfId="1" applyBorder="1" applyAlignment="1">
      <alignment horizontal="center" vertical="center"/>
    </xf>
    <xf numFmtId="0" fontId="0" fillId="2" borderId="0" xfId="0" applyFill="1" applyAlignment="1">
      <alignment horizontal="center" vertical="center"/>
    </xf>
    <xf numFmtId="0" fontId="0" fillId="38" borderId="0" xfId="0" applyFill="1"/>
    <xf numFmtId="0" fontId="52" fillId="38" borderId="0" xfId="0" applyFont="1" applyFill="1" applyAlignment="1">
      <alignment wrapText="1"/>
    </xf>
    <xf numFmtId="0" fontId="15" fillId="38" borderId="0" xfId="0" applyFont="1" applyFill="1"/>
    <xf numFmtId="0" fontId="51" fillId="38" borderId="0" xfId="0" applyFont="1" applyFill="1" applyAlignment="1">
      <alignment vertical="top" wrapText="1"/>
    </xf>
    <xf numFmtId="0" fontId="20" fillId="36" borderId="0" xfId="0" applyFont="1" applyFill="1" applyAlignment="1">
      <alignment horizontal="center" vertical="center"/>
    </xf>
    <xf numFmtId="0" fontId="19" fillId="2" borderId="0" xfId="0" applyFont="1" applyFill="1" applyAlignment="1">
      <alignment horizontal="left" vertical="center" wrapText="1"/>
    </xf>
    <xf numFmtId="1" fontId="0" fillId="2" borderId="0" xfId="0" applyNumberFormat="1" applyFill="1" applyAlignment="1">
      <alignment horizontal="center" vertical="center"/>
    </xf>
    <xf numFmtId="0" fontId="22" fillId="2" borderId="0" xfId="0" applyFont="1" applyFill="1" applyAlignment="1">
      <alignment horizontal="center" vertical="center"/>
    </xf>
    <xf numFmtId="0" fontId="0" fillId="36" borderId="0" xfId="0" applyFill="1"/>
    <xf numFmtId="0" fontId="50" fillId="36" borderId="0" xfId="0" applyFont="1" applyFill="1" applyAlignment="1">
      <alignment vertical="center"/>
    </xf>
    <xf numFmtId="0" fontId="50" fillId="36" borderId="0" xfId="0" applyFont="1" applyFill="1" applyAlignment="1">
      <alignment vertical="center" wrapText="1"/>
    </xf>
    <xf numFmtId="0" fontId="15" fillId="36" borderId="0" xfId="0" applyFont="1" applyFill="1"/>
    <xf numFmtId="0" fontId="53" fillId="36" borderId="0" xfId="0" applyFont="1" applyFill="1" applyAlignment="1">
      <alignment vertical="center"/>
    </xf>
    <xf numFmtId="0" fontId="55" fillId="36" borderId="0" xfId="0" applyFont="1" applyFill="1" applyAlignment="1">
      <alignment vertical="center" wrapText="1"/>
    </xf>
    <xf numFmtId="0" fontId="17" fillId="2" borderId="11" xfId="0" applyFont="1" applyFill="1" applyBorder="1" applyAlignment="1">
      <alignment horizontal="left" vertical="center"/>
    </xf>
    <xf numFmtId="0" fontId="0" fillId="2" borderId="0" xfId="0" applyFill="1" applyAlignment="1">
      <alignment horizontal="center"/>
    </xf>
    <xf numFmtId="0" fontId="41" fillId="0" borderId="11" xfId="0" applyFont="1" applyBorder="1" applyAlignment="1">
      <alignment horizontal="center"/>
    </xf>
    <xf numFmtId="49" fontId="33" fillId="2" borderId="0" xfId="0" applyNumberFormat="1" applyFont="1" applyFill="1" applyAlignment="1">
      <alignment horizontal="right"/>
    </xf>
    <xf numFmtId="0" fontId="45" fillId="2" borderId="0" xfId="0" applyFont="1" applyFill="1" applyAlignment="1">
      <alignment vertical="center"/>
    </xf>
    <xf numFmtId="0" fontId="1" fillId="2" borderId="0" xfId="0" applyFont="1" applyFill="1" applyAlignment="1">
      <alignment horizontal="left" vertical="center"/>
    </xf>
    <xf numFmtId="0" fontId="43" fillId="2" borderId="0" xfId="0" applyFont="1" applyFill="1" applyAlignment="1">
      <alignment vertical="center"/>
    </xf>
    <xf numFmtId="0" fontId="47" fillId="2" borderId="0" xfId="44" applyFont="1" applyFill="1" applyBorder="1" applyAlignment="1" applyProtection="1">
      <alignment vertical="center"/>
    </xf>
    <xf numFmtId="3" fontId="37" fillId="2" borderId="0" xfId="0" applyNumberFormat="1" applyFont="1" applyFill="1" applyAlignment="1">
      <alignment vertical="center"/>
    </xf>
    <xf numFmtId="0" fontId="37" fillId="2" borderId="0" xfId="0" applyFont="1" applyFill="1" applyAlignment="1">
      <alignment vertical="center"/>
    </xf>
    <xf numFmtId="0" fontId="38" fillId="2" borderId="0" xfId="0" applyFont="1" applyFill="1" applyAlignment="1">
      <alignment vertical="center"/>
    </xf>
    <xf numFmtId="0" fontId="56" fillId="36" borderId="0" xfId="0" applyFont="1" applyFill="1" applyAlignment="1">
      <alignment vertical="center"/>
    </xf>
    <xf numFmtId="0" fontId="52" fillId="38" borderId="0" xfId="0" applyFont="1" applyFill="1" applyAlignment="1">
      <alignment vertical="center" wrapText="1"/>
    </xf>
    <xf numFmtId="0" fontId="52" fillId="36" borderId="0" xfId="0" applyFont="1" applyFill="1" applyAlignment="1">
      <alignment vertical="center" wrapText="1"/>
    </xf>
    <xf numFmtId="0" fontId="52" fillId="2" borderId="0" xfId="0" applyFont="1" applyFill="1" applyAlignment="1">
      <alignment vertical="center" wrapText="1"/>
    </xf>
    <xf numFmtId="0" fontId="50" fillId="2" borderId="0" xfId="0" applyFont="1" applyFill="1" applyAlignment="1">
      <alignment vertical="center" wrapText="1"/>
    </xf>
    <xf numFmtId="0" fontId="55" fillId="2" borderId="0" xfId="0" applyFont="1" applyFill="1" applyAlignment="1">
      <alignment vertical="center" wrapText="1"/>
    </xf>
    <xf numFmtId="168" fontId="62" fillId="36" borderId="0" xfId="0" applyNumberFormat="1" applyFont="1" applyFill="1"/>
    <xf numFmtId="0" fontId="62" fillId="36" borderId="0" xfId="0" applyFont="1" applyFill="1"/>
    <xf numFmtId="0" fontId="36" fillId="2" borderId="11" xfId="1" applyFont="1" applyFill="1" applyBorder="1" applyAlignment="1">
      <alignment horizontal="center" vertical="center"/>
    </xf>
    <xf numFmtId="0" fontId="40" fillId="2" borderId="18" xfId="0" applyFont="1" applyFill="1" applyBorder="1"/>
    <xf numFmtId="0" fontId="40" fillId="2" borderId="0" xfId="0" applyFont="1" applyFill="1"/>
    <xf numFmtId="0" fontId="0" fillId="0" borderId="50" xfId="0" applyBorder="1" applyAlignment="1">
      <alignment horizontal="center"/>
    </xf>
    <xf numFmtId="0" fontId="0" fillId="0" borderId="28" xfId="0" applyBorder="1" applyAlignment="1">
      <alignment horizontal="center"/>
    </xf>
    <xf numFmtId="0" fontId="0" fillId="0" borderId="51" xfId="0" applyBorder="1" applyAlignment="1">
      <alignment horizontal="center"/>
    </xf>
    <xf numFmtId="0" fontId="0" fillId="0" borderId="31" xfId="0" applyBorder="1" applyAlignment="1">
      <alignment horizontal="center"/>
    </xf>
    <xf numFmtId="0" fontId="56" fillId="36" borderId="0" xfId="0" applyFont="1" applyFill="1" applyAlignment="1">
      <alignment horizontal="center" vertical="center"/>
    </xf>
    <xf numFmtId="0" fontId="56" fillId="34" borderId="52" xfId="0" applyFont="1" applyFill="1" applyBorder="1" applyAlignment="1" applyProtection="1">
      <alignment horizontal="center" vertical="center"/>
      <protection locked="0"/>
    </xf>
    <xf numFmtId="0" fontId="56" fillId="34" borderId="53" xfId="0" applyFont="1" applyFill="1" applyBorder="1" applyAlignment="1" applyProtection="1">
      <alignment horizontal="center" vertical="center"/>
      <protection locked="0"/>
    </xf>
    <xf numFmtId="0" fontId="56" fillId="34" borderId="0" xfId="0" applyFont="1" applyFill="1" applyAlignment="1" applyProtection="1">
      <alignment horizontal="center" vertical="center"/>
      <protection locked="0"/>
    </xf>
    <xf numFmtId="2" fontId="55" fillId="36" borderId="0" xfId="0" applyNumberFormat="1" applyFont="1" applyFill="1" applyAlignment="1">
      <alignment horizontal="center" vertical="center"/>
    </xf>
    <xf numFmtId="0" fontId="55" fillId="36" borderId="0" xfId="0" applyFont="1" applyFill="1" applyAlignment="1">
      <alignment vertical="center"/>
    </xf>
    <xf numFmtId="0" fontId="59" fillId="36" borderId="0" xfId="0" applyFont="1" applyFill="1" applyAlignment="1">
      <alignment vertical="center"/>
    </xf>
    <xf numFmtId="0" fontId="59" fillId="36" borderId="0" xfId="0" applyFont="1" applyFill="1"/>
    <xf numFmtId="0" fontId="61" fillId="36" borderId="0" xfId="0" applyFont="1" applyFill="1"/>
    <xf numFmtId="0" fontId="61" fillId="36" borderId="0" xfId="0" applyFont="1" applyFill="1" applyAlignment="1">
      <alignment horizontal="center"/>
    </xf>
    <xf numFmtId="168" fontId="61" fillId="36" borderId="0" xfId="0" applyNumberFormat="1" applyFont="1" applyFill="1" applyAlignment="1">
      <alignment horizontal="center"/>
    </xf>
    <xf numFmtId="2" fontId="61" fillId="36" borderId="0" xfId="0" applyNumberFormat="1" applyFont="1" applyFill="1" applyAlignment="1">
      <alignment horizontal="center"/>
    </xf>
    <xf numFmtId="0" fontId="55" fillId="36" borderId="0" xfId="0" applyFont="1" applyFill="1" applyAlignment="1">
      <alignment horizontal="center" vertical="center"/>
    </xf>
    <xf numFmtId="0" fontId="59" fillId="34" borderId="11" xfId="0" applyFont="1" applyFill="1" applyBorder="1" applyAlignment="1" applyProtection="1">
      <alignment horizontal="center" vertical="center"/>
      <protection locked="0"/>
    </xf>
    <xf numFmtId="2" fontId="59" fillId="34" borderId="11" xfId="0" applyNumberFormat="1" applyFont="1" applyFill="1" applyBorder="1" applyAlignment="1" applyProtection="1">
      <alignment horizontal="center" vertical="center"/>
      <protection locked="0"/>
    </xf>
    <xf numFmtId="168" fontId="59" fillId="34" borderId="11" xfId="0" applyNumberFormat="1" applyFont="1" applyFill="1" applyBorder="1" applyAlignment="1" applyProtection="1">
      <alignment horizontal="center" vertical="center"/>
      <protection locked="0"/>
    </xf>
    <xf numFmtId="2" fontId="14" fillId="34" borderId="11" xfId="0" applyNumberFormat="1" applyFont="1" applyFill="1" applyBorder="1" applyAlignment="1" applyProtection="1">
      <alignment horizontal="center" vertical="center"/>
      <protection locked="0"/>
    </xf>
    <xf numFmtId="0" fontId="14" fillId="34" borderId="11" xfId="0" applyFont="1" applyFill="1" applyBorder="1" applyAlignment="1" applyProtection="1">
      <alignment horizontal="center" vertical="center"/>
      <protection locked="0"/>
    </xf>
    <xf numFmtId="170" fontId="63" fillId="36" borderId="11" xfId="0" applyNumberFormat="1" applyFont="1" applyFill="1" applyBorder="1" applyAlignment="1">
      <alignment horizontal="center"/>
    </xf>
    <xf numFmtId="2" fontId="63" fillId="36" borderId="11" xfId="0" applyNumberFormat="1" applyFont="1" applyFill="1" applyBorder="1" applyAlignment="1">
      <alignment horizontal="center" vertical="center"/>
    </xf>
    <xf numFmtId="0" fontId="50" fillId="38" borderId="11" xfId="0" applyFont="1" applyFill="1" applyBorder="1" applyAlignment="1">
      <alignment horizontal="center"/>
    </xf>
    <xf numFmtId="0" fontId="63" fillId="36" borderId="0" xfId="0" applyFont="1" applyFill="1" applyAlignment="1">
      <alignment vertical="center"/>
    </xf>
    <xf numFmtId="0" fontId="59" fillId="36" borderId="55" xfId="0" applyFont="1" applyFill="1" applyBorder="1"/>
    <xf numFmtId="0" fontId="59" fillId="36" borderId="56" xfId="0" applyFont="1" applyFill="1" applyBorder="1"/>
    <xf numFmtId="0" fontId="59" fillId="36" borderId="58" xfId="0" applyFont="1" applyFill="1" applyBorder="1"/>
    <xf numFmtId="0" fontId="55" fillId="36" borderId="60" xfId="0" applyFont="1" applyFill="1" applyBorder="1" applyAlignment="1">
      <alignment vertical="center" wrapText="1"/>
    </xf>
    <xf numFmtId="0" fontId="55" fillId="36" borderId="61" xfId="0" applyFont="1" applyFill="1" applyBorder="1" applyAlignment="1">
      <alignment vertical="center" wrapText="1"/>
    </xf>
    <xf numFmtId="0" fontId="59" fillId="36" borderId="0" xfId="0" applyFont="1" applyFill="1" applyAlignment="1">
      <alignment vertical="center" wrapText="1"/>
    </xf>
    <xf numFmtId="2" fontId="55" fillId="36" borderId="11" xfId="0" applyNumberFormat="1" applyFont="1" applyFill="1" applyBorder="1" applyAlignment="1">
      <alignment horizontal="center" vertical="center"/>
    </xf>
    <xf numFmtId="0" fontId="21" fillId="36" borderId="0" xfId="0" applyFont="1" applyFill="1" applyAlignment="1">
      <alignment horizontal="center" vertical="center"/>
    </xf>
    <xf numFmtId="167" fontId="59" fillId="36" borderId="52" xfId="0" applyNumberFormat="1" applyFont="1" applyFill="1" applyBorder="1" applyAlignment="1">
      <alignment horizontal="center" vertical="center"/>
    </xf>
    <xf numFmtId="3" fontId="59" fillId="36" borderId="52" xfId="0" applyNumberFormat="1" applyFont="1" applyFill="1" applyBorder="1" applyAlignment="1">
      <alignment horizontal="center" vertical="center"/>
    </xf>
    <xf numFmtId="4" fontId="59" fillId="36" borderId="52" xfId="0" applyNumberFormat="1" applyFont="1" applyFill="1" applyBorder="1" applyAlignment="1">
      <alignment horizontal="center" vertical="center"/>
    </xf>
    <xf numFmtId="0" fontId="55" fillId="36" borderId="52" xfId="0" applyFont="1" applyFill="1" applyBorder="1" applyAlignment="1">
      <alignment horizontal="center" vertical="center"/>
    </xf>
    <xf numFmtId="165" fontId="0" fillId="0" borderId="0" xfId="45" applyFont="1" applyAlignment="1">
      <alignment horizontal="center" vertical="center"/>
    </xf>
    <xf numFmtId="0" fontId="55" fillId="36" borderId="11" xfId="0" applyFont="1" applyFill="1" applyBorder="1" applyAlignment="1">
      <alignment horizontal="center" vertical="center"/>
    </xf>
    <xf numFmtId="0" fontId="0" fillId="36" borderId="16" xfId="0" applyFill="1" applyBorder="1"/>
    <xf numFmtId="0" fontId="37" fillId="0" borderId="0" xfId="0" applyFont="1" applyAlignment="1">
      <alignment vertical="center" wrapText="1"/>
    </xf>
    <xf numFmtId="165" fontId="23" fillId="0" borderId="0" xfId="45" applyFont="1" applyFill="1" applyAlignment="1" applyProtection="1">
      <alignment vertical="center"/>
    </xf>
    <xf numFmtId="165" fontId="23" fillId="0" borderId="0" xfId="45" applyFont="1" applyFill="1" applyProtection="1"/>
    <xf numFmtId="0" fontId="36" fillId="2" borderId="12" xfId="0" applyFont="1" applyFill="1" applyBorder="1" applyAlignment="1">
      <alignment wrapText="1"/>
    </xf>
    <xf numFmtId="0" fontId="36" fillId="2" borderId="14" xfId="0" applyFont="1" applyFill="1" applyBorder="1" applyAlignment="1">
      <alignment wrapText="1"/>
    </xf>
    <xf numFmtId="0" fontId="36" fillId="2" borderId="12" xfId="1" applyFont="1" applyFill="1" applyBorder="1" applyAlignment="1">
      <alignment vertical="center"/>
    </xf>
    <xf numFmtId="0" fontId="36" fillId="2" borderId="13" xfId="1" applyFont="1" applyFill="1" applyBorder="1" applyAlignment="1">
      <alignment vertical="center"/>
    </xf>
    <xf numFmtId="0" fontId="36" fillId="2" borderId="11" xfId="1" applyFont="1" applyFill="1" applyBorder="1" applyAlignment="1">
      <alignment vertical="center"/>
    </xf>
    <xf numFmtId="0" fontId="41" fillId="0" borderId="11" xfId="0" applyFont="1" applyBorder="1"/>
    <xf numFmtId="0" fontId="55" fillId="34" borderId="0" xfId="0" applyFont="1" applyFill="1" applyAlignment="1" applyProtection="1">
      <alignment horizontal="center" vertical="center"/>
      <protection locked="0"/>
    </xf>
    <xf numFmtId="2" fontId="14" fillId="36" borderId="0" xfId="0" applyNumberFormat="1" applyFont="1" applyFill="1" applyAlignment="1">
      <alignment horizontal="center" vertical="center"/>
    </xf>
    <xf numFmtId="0" fontId="55" fillId="36" borderId="0" xfId="0" applyFont="1" applyFill="1" applyAlignment="1">
      <alignment horizontal="center" vertical="center" wrapText="1"/>
    </xf>
    <xf numFmtId="0" fontId="14" fillId="36" borderId="0" xfId="0" applyFont="1" applyFill="1" applyAlignment="1">
      <alignment horizontal="center" vertical="center"/>
    </xf>
    <xf numFmtId="0" fontId="54" fillId="36" borderId="0" xfId="0" applyFont="1" applyFill="1" applyAlignment="1">
      <alignment vertical="center"/>
    </xf>
    <xf numFmtId="0" fontId="14" fillId="36" borderId="0" xfId="0" applyFont="1" applyFill="1" applyAlignment="1">
      <alignment vertical="center" wrapText="1"/>
    </xf>
    <xf numFmtId="0" fontId="55" fillId="36" borderId="0" xfId="0" applyFont="1" applyFill="1" applyAlignment="1">
      <alignment horizontal="center"/>
    </xf>
    <xf numFmtId="168" fontId="55" fillId="36" borderId="0" xfId="0" applyNumberFormat="1" applyFont="1" applyFill="1" applyAlignment="1">
      <alignment horizontal="center" vertical="center"/>
    </xf>
    <xf numFmtId="0" fontId="56" fillId="36" borderId="0" xfId="44" applyFont="1" applyFill="1" applyAlignment="1" applyProtection="1">
      <alignment vertical="center" wrapText="1"/>
    </xf>
    <xf numFmtId="0" fontId="72" fillId="38" borderId="0" xfId="0" applyFont="1" applyFill="1"/>
    <xf numFmtId="0" fontId="74" fillId="38" borderId="0" xfId="0" applyFont="1" applyFill="1"/>
    <xf numFmtId="0" fontId="56" fillId="36" borderId="0" xfId="0" applyFont="1" applyFill="1" applyAlignment="1">
      <alignment vertical="center" wrapText="1"/>
    </xf>
    <xf numFmtId="0" fontId="54" fillId="36" borderId="0" xfId="0" applyFont="1" applyFill="1" applyAlignment="1">
      <alignment vertical="center" wrapText="1"/>
    </xf>
    <xf numFmtId="0" fontId="67" fillId="36" borderId="0" xfId="0" applyFont="1" applyFill="1" applyAlignment="1">
      <alignment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17" fillId="0" borderId="50" xfId="0" applyFont="1" applyBorder="1" applyAlignment="1">
      <alignment horizontal="center" vertical="center"/>
    </xf>
    <xf numFmtId="0" fontId="17" fillId="0" borderId="68" xfId="0" applyFont="1" applyBorder="1" applyAlignment="1">
      <alignment horizontal="center" vertical="center"/>
    </xf>
    <xf numFmtId="0" fontId="0" fillId="0" borderId="69" xfId="0" applyBorder="1" applyAlignment="1">
      <alignment horizontal="center" vertical="center"/>
    </xf>
    <xf numFmtId="0" fontId="55" fillId="34" borderId="11" xfId="0" applyFont="1" applyFill="1" applyBorder="1" applyAlignment="1" applyProtection="1">
      <alignment horizontal="center" vertical="center"/>
      <protection locked="0"/>
    </xf>
    <xf numFmtId="2" fontId="55" fillId="34" borderId="11" xfId="0" applyNumberFormat="1" applyFont="1" applyFill="1" applyBorder="1" applyAlignment="1" applyProtection="1">
      <alignment horizontal="center" vertical="center"/>
      <protection locked="0"/>
    </xf>
    <xf numFmtId="0" fontId="77" fillId="38" borderId="0" xfId="0" applyFont="1" applyFill="1"/>
    <xf numFmtId="2" fontId="55" fillId="37" borderId="11" xfId="0" applyNumberFormat="1" applyFont="1" applyFill="1" applyBorder="1" applyAlignment="1">
      <alignment horizontal="center" vertical="center"/>
    </xf>
    <xf numFmtId="1" fontId="55" fillId="37" borderId="11" xfId="0" applyNumberFormat="1" applyFont="1" applyFill="1" applyBorder="1" applyAlignment="1">
      <alignment horizontal="center" vertical="center"/>
    </xf>
    <xf numFmtId="0" fontId="0" fillId="36" borderId="14" xfId="0" applyFill="1" applyBorder="1"/>
    <xf numFmtId="2" fontId="14" fillId="36" borderId="11" xfId="0" applyNumberFormat="1" applyFont="1" applyFill="1" applyBorder="1" applyAlignment="1">
      <alignment horizontal="center" vertical="center"/>
    </xf>
    <xf numFmtId="0" fontId="55" fillId="37" borderId="11" xfId="0" applyFont="1" applyFill="1" applyBorder="1" applyAlignment="1">
      <alignment horizontal="center" vertical="center" wrapText="1"/>
    </xf>
    <xf numFmtId="0" fontId="55" fillId="36" borderId="11" xfId="0" applyFont="1" applyFill="1" applyBorder="1" applyAlignment="1">
      <alignment horizontal="center" vertical="center" wrapText="1"/>
    </xf>
    <xf numFmtId="0" fontId="15" fillId="2" borderId="0" xfId="0" applyFont="1" applyFill="1"/>
    <xf numFmtId="0" fontId="18" fillId="2" borderId="0" xfId="0" applyFont="1" applyFill="1" applyAlignment="1">
      <alignment horizontal="center" vertical="center"/>
    </xf>
    <xf numFmtId="0" fontId="40" fillId="2" borderId="0" xfId="0" applyFont="1" applyFill="1" applyAlignment="1">
      <alignment horizontal="center" vertical="center"/>
    </xf>
    <xf numFmtId="0" fontId="0" fillId="2" borderId="0" xfId="0" applyFill="1" applyAlignment="1">
      <alignment horizontal="center" vertical="center" wrapText="1"/>
    </xf>
    <xf numFmtId="0" fontId="55" fillId="36" borderId="18" xfId="0" applyFont="1" applyFill="1" applyBorder="1" applyAlignment="1">
      <alignment vertical="center" wrapText="1"/>
    </xf>
    <xf numFmtId="0" fontId="0" fillId="0" borderId="11" xfId="0" applyBorder="1"/>
    <xf numFmtId="0" fontId="71" fillId="38" borderId="0" xfId="0" applyFont="1" applyFill="1" applyAlignment="1">
      <alignment vertical="top" wrapText="1"/>
    </xf>
    <xf numFmtId="0" fontId="71" fillId="38" borderId="0" xfId="0" applyFont="1" applyFill="1" applyAlignment="1">
      <alignment vertical="center" wrapText="1"/>
    </xf>
    <xf numFmtId="2" fontId="55" fillId="36" borderId="54" xfId="0" applyNumberFormat="1" applyFont="1" applyFill="1" applyBorder="1" applyAlignment="1">
      <alignment horizontal="center" vertical="center"/>
    </xf>
    <xf numFmtId="2" fontId="55" fillId="36" borderId="57" xfId="0" applyNumberFormat="1" applyFont="1" applyFill="1" applyBorder="1" applyAlignment="1">
      <alignment horizontal="center" vertical="center"/>
    </xf>
    <xf numFmtId="0" fontId="0" fillId="36" borderId="59" xfId="0" applyFill="1" applyBorder="1"/>
    <xf numFmtId="0" fontId="69" fillId="36" borderId="0" xfId="0" applyFont="1" applyFill="1" applyAlignment="1">
      <alignment vertical="center" wrapText="1"/>
    </xf>
    <xf numFmtId="0" fontId="56" fillId="36" borderId="0" xfId="44" applyFont="1" applyFill="1" applyBorder="1" applyAlignment="1" applyProtection="1">
      <alignment vertical="center" wrapText="1"/>
    </xf>
    <xf numFmtId="0" fontId="69" fillId="36" borderId="58" xfId="0" applyFont="1" applyFill="1" applyBorder="1" applyAlignment="1">
      <alignment vertical="center" wrapText="1"/>
    </xf>
    <xf numFmtId="0" fontId="56" fillId="36" borderId="58" xfId="0" applyFont="1" applyFill="1" applyBorder="1" applyAlignment="1">
      <alignment vertical="center" wrapText="1"/>
    </xf>
    <xf numFmtId="1" fontId="0" fillId="0" borderId="0" xfId="0" applyNumberFormat="1" applyAlignment="1">
      <alignment horizontal="center" vertical="center"/>
    </xf>
    <xf numFmtId="173" fontId="19" fillId="2" borderId="0" xfId="0" applyNumberFormat="1" applyFont="1" applyFill="1" applyAlignment="1">
      <alignment vertical="center"/>
    </xf>
    <xf numFmtId="173" fontId="48" fillId="2" borderId="0" xfId="0" applyNumberFormat="1" applyFont="1" applyFill="1" applyAlignment="1">
      <alignment vertical="center"/>
    </xf>
    <xf numFmtId="1" fontId="41" fillId="2" borderId="14" xfId="0" applyNumberFormat="1" applyFont="1" applyFill="1" applyBorder="1"/>
    <xf numFmtId="1" fontId="41" fillId="2" borderId="13" xfId="0" applyNumberFormat="1" applyFont="1" applyFill="1" applyBorder="1"/>
    <xf numFmtId="174" fontId="55" fillId="34" borderId="11" xfId="0" applyNumberFormat="1" applyFont="1" applyFill="1" applyBorder="1" applyAlignment="1" applyProtection="1">
      <alignment horizontal="center" vertical="center"/>
      <protection locked="0"/>
    </xf>
    <xf numFmtId="0" fontId="55" fillId="38" borderId="11" xfId="0" applyFont="1" applyFill="1" applyBorder="1" applyAlignment="1">
      <alignment horizontal="center" vertical="center"/>
    </xf>
    <xf numFmtId="0" fontId="55" fillId="38" borderId="11" xfId="0" applyFont="1" applyFill="1" applyBorder="1" applyAlignment="1">
      <alignment horizontal="center" vertical="center" wrapText="1"/>
    </xf>
    <xf numFmtId="0" fontId="61" fillId="0" borderId="11" xfId="0" applyFont="1" applyBorder="1" applyAlignment="1">
      <alignment horizontal="center" vertical="center"/>
    </xf>
    <xf numFmtId="0" fontId="61" fillId="0" borderId="11" xfId="0" applyFont="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55" fillId="37" borderId="11" xfId="0" applyFont="1" applyFill="1" applyBorder="1" applyAlignment="1">
      <alignment horizontal="center" vertical="center"/>
    </xf>
    <xf numFmtId="175" fontId="83" fillId="40" borderId="11" xfId="0" applyNumberFormat="1" applyFont="1" applyFill="1" applyBorder="1" applyAlignment="1" applyProtection="1">
      <alignment horizontal="center" vertical="center"/>
      <protection locked="0"/>
    </xf>
    <xf numFmtId="176" fontId="83" fillId="40" borderId="11" xfId="0" applyNumberFormat="1" applyFont="1" applyFill="1" applyBorder="1" applyAlignment="1" applyProtection="1">
      <alignment horizontal="center" vertical="center"/>
      <protection locked="0"/>
    </xf>
    <xf numFmtId="0" fontId="83" fillId="40" borderId="11" xfId="0" applyFont="1" applyFill="1" applyBorder="1" applyAlignment="1" applyProtection="1">
      <alignment horizontal="center" vertical="center"/>
      <protection locked="0"/>
    </xf>
    <xf numFmtId="0" fontId="0" fillId="2" borderId="18" xfId="0" applyFill="1" applyBorder="1"/>
    <xf numFmtId="0" fontId="0" fillId="2" borderId="19" xfId="0" applyFill="1" applyBorder="1"/>
    <xf numFmtId="0" fontId="55" fillId="38" borderId="23" xfId="0" applyFont="1" applyFill="1" applyBorder="1" applyAlignment="1">
      <alignment vertical="center"/>
    </xf>
    <xf numFmtId="0" fontId="59" fillId="37" borderId="11" xfId="0" applyFont="1" applyFill="1" applyBorder="1" applyAlignment="1">
      <alignment horizontal="center" vertical="center"/>
    </xf>
    <xf numFmtId="0" fontId="61" fillId="2" borderId="0" xfId="0" applyFont="1" applyFill="1"/>
    <xf numFmtId="0" fontId="0" fillId="2" borderId="20" xfId="0" applyFill="1" applyBorder="1"/>
    <xf numFmtId="0" fontId="0" fillId="2" borderId="21" xfId="0" applyFill="1" applyBorder="1"/>
    <xf numFmtId="0" fontId="0" fillId="2" borderId="22" xfId="0" applyFill="1" applyBorder="1"/>
    <xf numFmtId="1" fontId="55" fillId="34" borderId="11" xfId="0" applyNumberFormat="1" applyFont="1" applyFill="1" applyBorder="1" applyAlignment="1" applyProtection="1">
      <alignment horizontal="center" vertical="center"/>
      <protection locked="0"/>
    </xf>
    <xf numFmtId="0" fontId="55" fillId="34" borderId="14" xfId="0" applyFont="1" applyFill="1" applyBorder="1" applyAlignment="1" applyProtection="1">
      <alignment horizontal="center" vertical="center"/>
      <protection locked="0"/>
    </xf>
    <xf numFmtId="0" fontId="55" fillId="34" borderId="21" xfId="0" applyFont="1" applyFill="1" applyBorder="1" applyAlignment="1" applyProtection="1">
      <alignment horizontal="center" vertical="center"/>
      <protection locked="0"/>
    </xf>
    <xf numFmtId="0" fontId="55" fillId="36" borderId="0" xfId="0" applyFont="1" applyFill="1" applyAlignment="1" applyProtection="1">
      <alignment vertical="center" wrapText="1"/>
      <protection locked="0"/>
    </xf>
    <xf numFmtId="0" fontId="60" fillId="36" borderId="0" xfId="0" applyFont="1" applyFill="1" applyAlignment="1">
      <alignment horizontal="center" vertical="center"/>
    </xf>
    <xf numFmtId="0" fontId="80" fillId="38" borderId="0" xfId="0" applyFont="1" applyFill="1"/>
    <xf numFmtId="0" fontId="59" fillId="36" borderId="16" xfId="0" applyFont="1" applyFill="1" applyBorder="1" applyAlignment="1">
      <alignment vertical="center" wrapText="1"/>
    </xf>
    <xf numFmtId="0" fontId="60" fillId="38" borderId="11" xfId="0" applyFont="1" applyFill="1" applyBorder="1" applyAlignment="1">
      <alignment horizontal="center" vertical="center"/>
    </xf>
    <xf numFmtId="168" fontId="15" fillId="36" borderId="0" xfId="0" applyNumberFormat="1" applyFont="1" applyFill="1"/>
    <xf numFmtId="0" fontId="61" fillId="2" borderId="11" xfId="0" applyFont="1" applyFill="1" applyBorder="1"/>
    <xf numFmtId="0" fontId="61" fillId="2" borderId="12" xfId="0" applyFont="1" applyFill="1" applyBorder="1"/>
    <xf numFmtId="0" fontId="61" fillId="2" borderId="11" xfId="0" applyFont="1" applyFill="1" applyBorder="1" applyAlignment="1">
      <alignment horizontal="center"/>
    </xf>
    <xf numFmtId="168" fontId="61" fillId="2" borderId="11" xfId="0" applyNumberFormat="1" applyFont="1" applyFill="1" applyBorder="1" applyAlignment="1">
      <alignment horizontal="center"/>
    </xf>
    <xf numFmtId="2" fontId="61" fillId="2" borderId="11" xfId="0" applyNumberFormat="1" applyFont="1" applyFill="1" applyBorder="1" applyAlignment="1">
      <alignment horizontal="center"/>
    </xf>
    <xf numFmtId="0" fontId="61" fillId="34" borderId="11" xfId="0" applyFont="1" applyFill="1" applyBorder="1"/>
    <xf numFmtId="0" fontId="61" fillId="34" borderId="11" xfId="0" applyFont="1" applyFill="1" applyBorder="1" applyAlignment="1">
      <alignment horizontal="center"/>
    </xf>
    <xf numFmtId="168" fontId="61" fillId="34" borderId="11" xfId="0" applyNumberFormat="1" applyFont="1" applyFill="1" applyBorder="1" applyAlignment="1">
      <alignment horizontal="center"/>
    </xf>
    <xf numFmtId="2" fontId="61" fillId="34" borderId="11" xfId="0" applyNumberFormat="1" applyFont="1" applyFill="1" applyBorder="1" applyAlignment="1">
      <alignment horizontal="center"/>
    </xf>
    <xf numFmtId="168" fontId="0" fillId="38" borderId="0" xfId="0" applyNumberFormat="1" applyFill="1"/>
    <xf numFmtId="0" fontId="0" fillId="38" borderId="0" xfId="0" applyFill="1" applyAlignment="1">
      <alignment horizontal="center"/>
    </xf>
    <xf numFmtId="170" fontId="55" fillId="36" borderId="11" xfId="0" applyNumberFormat="1" applyFont="1" applyFill="1" applyBorder="1" applyAlignment="1">
      <alignment horizontal="center" vertical="center"/>
    </xf>
    <xf numFmtId="177" fontId="85" fillId="36" borderId="0" xfId="0" applyNumberFormat="1" applyFont="1" applyFill="1" applyAlignment="1">
      <alignment horizontal="center"/>
    </xf>
    <xf numFmtId="2" fontId="0" fillId="2" borderId="0" xfId="0" applyNumberFormat="1" applyFill="1"/>
    <xf numFmtId="0" fontId="58" fillId="38" borderId="0" xfId="0" applyFont="1" applyFill="1"/>
    <xf numFmtId="0" fontId="71" fillId="38" borderId="0" xfId="0" applyFont="1" applyFill="1" applyAlignment="1">
      <alignment horizontal="right" vertical="top" wrapText="1"/>
    </xf>
    <xf numFmtId="0" fontId="58" fillId="38" borderId="0" xfId="0" applyFont="1" applyFill="1" applyAlignment="1">
      <alignment vertical="center"/>
    </xf>
    <xf numFmtId="0" fontId="57" fillId="39" borderId="0" xfId="0" applyFont="1" applyFill="1" applyAlignment="1" applyProtection="1">
      <alignment horizontal="left" vertical="center"/>
      <protection locked="0"/>
    </xf>
    <xf numFmtId="0" fontId="56" fillId="36" borderId="0" xfId="0" applyFont="1" applyFill="1" applyAlignment="1">
      <alignment horizontal="right" vertical="center"/>
    </xf>
    <xf numFmtId="0" fontId="73" fillId="38" borderId="0" xfId="0" applyFont="1" applyFill="1" applyAlignment="1">
      <alignment vertical="center"/>
    </xf>
    <xf numFmtId="172" fontId="56" fillId="34" borderId="0" xfId="0" applyNumberFormat="1" applyFont="1" applyFill="1" applyAlignment="1" applyProtection="1">
      <alignment horizontal="center" vertical="center"/>
      <protection locked="0"/>
    </xf>
    <xf numFmtId="0" fontId="50" fillId="37" borderId="12" xfId="0" applyFont="1" applyFill="1" applyBorder="1" applyAlignment="1">
      <alignment horizontal="center"/>
    </xf>
    <xf numFmtId="0" fontId="50" fillId="37" borderId="14" xfId="0" applyFont="1" applyFill="1" applyBorder="1" applyAlignment="1">
      <alignment horizontal="center"/>
    </xf>
    <xf numFmtId="0" fontId="55" fillId="36" borderId="12" xfId="0" applyFont="1" applyFill="1" applyBorder="1" applyAlignment="1">
      <alignment horizontal="left"/>
    </xf>
    <xf numFmtId="0" fontId="55" fillId="36" borderId="14" xfId="0" applyFont="1" applyFill="1" applyBorder="1" applyAlignment="1">
      <alignment horizontal="left"/>
    </xf>
    <xf numFmtId="0" fontId="55" fillId="36" borderId="20" xfId="0" applyFont="1" applyFill="1" applyBorder="1" applyAlignment="1">
      <alignment horizontal="left"/>
    </xf>
    <xf numFmtId="0" fontId="55" fillId="36" borderId="21" xfId="0" applyFont="1" applyFill="1" applyBorder="1" applyAlignment="1">
      <alignment horizontal="left"/>
    </xf>
    <xf numFmtId="0" fontId="71" fillId="38" borderId="0" xfId="0" applyFont="1" applyFill="1" applyAlignment="1">
      <alignment horizontal="right" vertical="center" wrapText="1"/>
    </xf>
    <xf numFmtId="0" fontId="59" fillId="36" borderId="0" xfId="0" applyFont="1" applyFill="1" applyAlignment="1">
      <alignment horizontal="left" vertical="center" wrapText="1"/>
    </xf>
    <xf numFmtId="0" fontId="55" fillId="37" borderId="11" xfId="0" applyFont="1" applyFill="1" applyBorder="1" applyAlignment="1">
      <alignment horizontal="left" vertical="center"/>
    </xf>
    <xf numFmtId="0" fontId="14" fillId="36" borderId="11" xfId="0" applyFont="1" applyFill="1" applyBorder="1" applyAlignment="1">
      <alignment horizontal="center" vertical="center" wrapText="1"/>
    </xf>
    <xf numFmtId="0" fontId="54" fillId="36" borderId="0" xfId="0" applyFont="1" applyFill="1" applyAlignment="1">
      <alignment horizontal="left" vertical="center"/>
    </xf>
    <xf numFmtId="0" fontId="59" fillId="36" borderId="18" xfId="0" applyFont="1" applyFill="1" applyBorder="1" applyAlignment="1">
      <alignment horizontal="left" vertical="center" wrapText="1"/>
    </xf>
    <xf numFmtId="0" fontId="54" fillId="36" borderId="21" xfId="0" applyFont="1" applyFill="1" applyBorder="1" applyAlignment="1">
      <alignment horizontal="left" vertical="center"/>
    </xf>
    <xf numFmtId="0" fontId="55" fillId="36" borderId="13" xfId="0" applyFont="1" applyFill="1" applyBorder="1" applyAlignment="1">
      <alignment horizontal="center" vertical="center"/>
    </xf>
    <xf numFmtId="0" fontId="55" fillId="36" borderId="11" xfId="0" applyFont="1" applyFill="1" applyBorder="1" applyAlignment="1">
      <alignment horizontal="center" vertical="center"/>
    </xf>
    <xf numFmtId="0" fontId="59" fillId="36" borderId="11" xfId="0" applyFont="1" applyFill="1" applyBorder="1" applyAlignment="1">
      <alignment horizontal="left" vertical="center"/>
    </xf>
    <xf numFmtId="0" fontId="59" fillId="36" borderId="12" xfId="0" applyFont="1" applyFill="1" applyBorder="1" applyAlignment="1">
      <alignment horizontal="left" vertical="center"/>
    </xf>
    <xf numFmtId="0" fontId="59" fillId="36" borderId="15" xfId="0" applyFont="1" applyFill="1" applyBorder="1" applyAlignment="1">
      <alignment horizontal="left" vertical="center" wrapText="1"/>
    </xf>
    <xf numFmtId="0" fontId="59" fillId="36" borderId="16" xfId="0" applyFont="1" applyFill="1" applyBorder="1" applyAlignment="1">
      <alignment horizontal="left" vertical="center" wrapText="1"/>
    </xf>
    <xf numFmtId="0" fontId="59" fillId="36" borderId="11" xfId="0" applyFont="1" applyFill="1" applyBorder="1" applyAlignment="1">
      <alignment horizontal="left" vertical="center" wrapText="1"/>
    </xf>
    <xf numFmtId="0" fontId="59" fillId="36" borderId="12" xfId="0" applyFont="1" applyFill="1" applyBorder="1" applyAlignment="1">
      <alignment horizontal="left" vertical="center" wrapText="1"/>
    </xf>
    <xf numFmtId="0" fontId="59" fillId="36" borderId="11" xfId="0" applyFont="1" applyFill="1" applyBorder="1" applyAlignment="1">
      <alignment horizontal="left"/>
    </xf>
    <xf numFmtId="0" fontId="59" fillId="36" borderId="12" xfId="0" applyFont="1" applyFill="1" applyBorder="1" applyAlignment="1">
      <alignment horizontal="left"/>
    </xf>
    <xf numFmtId="0" fontId="55" fillId="36" borderId="11" xfId="0" applyFont="1" applyFill="1" applyBorder="1" applyAlignment="1">
      <alignment horizontal="left" vertical="center"/>
    </xf>
    <xf numFmtId="0" fontId="55" fillId="36" borderId="12" xfId="0" applyFont="1" applyFill="1" applyBorder="1" applyAlignment="1">
      <alignment horizontal="left" vertical="center"/>
    </xf>
    <xf numFmtId="0" fontId="55" fillId="36" borderId="16" xfId="0" applyFont="1" applyFill="1" applyBorder="1" applyAlignment="1">
      <alignment horizontal="center" vertical="center"/>
    </xf>
    <xf numFmtId="0" fontId="84" fillId="38" borderId="12" xfId="0" applyFont="1" applyFill="1" applyBorder="1" applyAlignment="1">
      <alignment horizontal="center" vertical="center"/>
    </xf>
    <xf numFmtId="0" fontId="84" fillId="38" borderId="14" xfId="0" applyFont="1" applyFill="1" applyBorder="1" applyAlignment="1">
      <alignment horizontal="center" vertical="center"/>
    </xf>
    <xf numFmtId="0" fontId="84" fillId="38" borderId="13" xfId="0" applyFont="1" applyFill="1" applyBorder="1" applyAlignment="1">
      <alignment horizontal="center" vertical="center"/>
    </xf>
    <xf numFmtId="177" fontId="84" fillId="38" borderId="12" xfId="0" applyNumberFormat="1" applyFont="1" applyFill="1" applyBorder="1" applyAlignment="1">
      <alignment horizontal="center" vertical="center" wrapText="1"/>
    </xf>
    <xf numFmtId="177" fontId="84" fillId="38" borderId="13" xfId="0" applyNumberFormat="1" applyFont="1" applyFill="1" applyBorder="1" applyAlignment="1">
      <alignment horizontal="center" vertical="center" wrapText="1"/>
    </xf>
    <xf numFmtId="0" fontId="55" fillId="36" borderId="0" xfId="0" applyFont="1" applyFill="1" applyAlignment="1">
      <alignment horizontal="center" vertical="center"/>
    </xf>
    <xf numFmtId="0" fontId="59" fillId="36" borderId="0" xfId="0" applyFont="1" applyFill="1" applyAlignment="1">
      <alignment horizontal="left" vertical="center"/>
    </xf>
    <xf numFmtId="0" fontId="54" fillId="34" borderId="0" xfId="0" applyFont="1" applyFill="1" applyAlignment="1" applyProtection="1">
      <alignment horizontal="center" vertical="center"/>
      <protection locked="0"/>
    </xf>
    <xf numFmtId="0" fontId="55" fillId="36" borderId="14" xfId="0" applyFont="1" applyFill="1" applyBorder="1" applyAlignment="1">
      <alignment horizontal="center" vertical="center"/>
    </xf>
    <xf numFmtId="0" fontId="55" fillId="34" borderId="11" xfId="0" applyFont="1" applyFill="1" applyBorder="1" applyAlignment="1" applyProtection="1">
      <alignment horizontal="center" vertical="center"/>
      <protection locked="0"/>
    </xf>
    <xf numFmtId="0" fontId="59" fillId="36" borderId="15" xfId="0" applyFont="1" applyFill="1" applyBorder="1" applyAlignment="1">
      <alignment horizontal="center" vertical="center" wrapText="1"/>
    </xf>
    <xf numFmtId="0" fontId="59" fillId="36" borderId="16" xfId="0" applyFont="1" applyFill="1" applyBorder="1" applyAlignment="1">
      <alignment horizontal="center" vertical="center" wrapText="1"/>
    </xf>
    <xf numFmtId="0" fontId="59" fillId="36" borderId="20" xfId="0" applyFont="1" applyFill="1" applyBorder="1" applyAlignment="1">
      <alignment horizontal="center" vertical="center" wrapText="1"/>
    </xf>
    <xf numFmtId="0" fontId="59" fillId="36" borderId="21" xfId="0" applyFont="1" applyFill="1" applyBorder="1" applyAlignment="1">
      <alignment horizontal="center" vertical="center" wrapText="1"/>
    </xf>
    <xf numFmtId="0" fontId="50" fillId="37" borderId="13" xfId="0" applyFont="1" applyFill="1" applyBorder="1" applyAlignment="1">
      <alignment horizontal="center"/>
    </xf>
    <xf numFmtId="0" fontId="50" fillId="37" borderId="11" xfId="0" applyFont="1" applyFill="1" applyBorder="1" applyAlignment="1">
      <alignment horizontal="center"/>
    </xf>
    <xf numFmtId="0" fontId="65" fillId="36" borderId="13" xfId="0" applyFont="1" applyFill="1" applyBorder="1" applyAlignment="1">
      <alignment horizontal="center" vertical="center"/>
    </xf>
    <xf numFmtId="0" fontId="65" fillId="36" borderId="11" xfId="0" applyFont="1" applyFill="1" applyBorder="1" applyAlignment="1">
      <alignment horizontal="center" vertical="center"/>
    </xf>
    <xf numFmtId="0" fontId="65" fillId="36" borderId="13" xfId="0" applyFont="1" applyFill="1" applyBorder="1" applyAlignment="1">
      <alignment horizontal="center" vertical="center" wrapText="1"/>
    </xf>
    <xf numFmtId="0" fontId="65" fillId="36" borderId="11" xfId="0" applyFont="1" applyFill="1" applyBorder="1" applyAlignment="1">
      <alignment horizontal="center" vertical="center" wrapText="1"/>
    </xf>
    <xf numFmtId="0" fontId="50" fillId="37" borderId="11" xfId="0" applyFont="1" applyFill="1" applyBorder="1" applyAlignment="1">
      <alignment horizontal="center" vertical="center"/>
    </xf>
    <xf numFmtId="2" fontId="50" fillId="36" borderId="15" xfId="0" applyNumberFormat="1" applyFont="1" applyFill="1" applyBorder="1" applyAlignment="1">
      <alignment horizontal="center" vertical="center"/>
    </xf>
    <xf numFmtId="2" fontId="50" fillId="36" borderId="16" xfId="0" applyNumberFormat="1" applyFont="1" applyFill="1" applyBorder="1" applyAlignment="1">
      <alignment horizontal="center" vertical="center"/>
    </xf>
    <xf numFmtId="2" fontId="50" fillId="36" borderId="17" xfId="0" applyNumberFormat="1" applyFont="1" applyFill="1" applyBorder="1" applyAlignment="1">
      <alignment horizontal="center" vertical="center"/>
    </xf>
    <xf numFmtId="2" fontId="50" fillId="36" borderId="20" xfId="0" applyNumberFormat="1" applyFont="1" applyFill="1" applyBorder="1" applyAlignment="1">
      <alignment horizontal="center" vertical="center"/>
    </xf>
    <xf numFmtId="2" fontId="50" fillId="36" borderId="21" xfId="0" applyNumberFormat="1" applyFont="1" applyFill="1" applyBorder="1" applyAlignment="1">
      <alignment horizontal="center" vertical="center"/>
    </xf>
    <xf numFmtId="2" fontId="50" fillId="36" borderId="22" xfId="0" applyNumberFormat="1" applyFont="1" applyFill="1" applyBorder="1" applyAlignment="1">
      <alignment horizontal="center" vertical="center"/>
    </xf>
    <xf numFmtId="0" fontId="78" fillId="36" borderId="11" xfId="44" applyFont="1" applyFill="1" applyBorder="1" applyAlignment="1" applyProtection="1">
      <alignment horizontal="left" vertical="center" wrapText="1"/>
    </xf>
    <xf numFmtId="0" fontId="78" fillId="36" borderId="12" xfId="44" applyFont="1" applyFill="1" applyBorder="1" applyAlignment="1" applyProtection="1">
      <alignment horizontal="left" vertical="center" wrapText="1"/>
    </xf>
    <xf numFmtId="0" fontId="14" fillId="36" borderId="24" xfId="0" applyFont="1" applyFill="1" applyBorder="1" applyAlignment="1">
      <alignment horizontal="center" vertical="center" wrapText="1"/>
    </xf>
    <xf numFmtId="0" fontId="14" fillId="36" borderId="67" xfId="0" applyFont="1" applyFill="1" applyBorder="1" applyAlignment="1">
      <alignment horizontal="center" vertical="center" wrapText="1"/>
    </xf>
    <xf numFmtId="0" fontId="14" fillId="36" borderId="23" xfId="0" applyFont="1" applyFill="1" applyBorder="1" applyAlignment="1">
      <alignment horizontal="center" vertical="center" wrapText="1"/>
    </xf>
    <xf numFmtId="0" fontId="55" fillId="37" borderId="12" xfId="0" applyFont="1" applyFill="1" applyBorder="1" applyAlignment="1">
      <alignment horizontal="left" vertical="center"/>
    </xf>
    <xf numFmtId="0" fontId="55" fillId="37" borderId="14" xfId="0" applyFont="1" applyFill="1" applyBorder="1" applyAlignment="1">
      <alignment horizontal="left" vertical="center"/>
    </xf>
    <xf numFmtId="0" fontId="55" fillId="37" borderId="13" xfId="0" applyFont="1" applyFill="1" applyBorder="1" applyAlignment="1">
      <alignment horizontal="left" vertical="center"/>
    </xf>
    <xf numFmtId="0" fontId="14" fillId="37" borderId="14" xfId="0" applyFont="1" applyFill="1" applyBorder="1" applyAlignment="1">
      <alignment horizontal="center"/>
    </xf>
    <xf numFmtId="0" fontId="14" fillId="37" borderId="13" xfId="0" applyFont="1" applyFill="1" applyBorder="1" applyAlignment="1">
      <alignment horizontal="center"/>
    </xf>
    <xf numFmtId="0" fontId="59" fillId="36" borderId="20" xfId="0" applyFont="1" applyFill="1" applyBorder="1" applyAlignment="1">
      <alignment horizontal="left" vertical="center" wrapText="1"/>
    </xf>
    <xf numFmtId="0" fontId="59" fillId="36" borderId="21" xfId="0" applyFont="1" applyFill="1" applyBorder="1" applyAlignment="1">
      <alignment horizontal="left" vertical="center" wrapText="1"/>
    </xf>
    <xf numFmtId="0" fontId="65" fillId="36" borderId="16" xfId="0" applyFont="1" applyFill="1" applyBorder="1" applyAlignment="1">
      <alignment horizontal="center" vertical="center"/>
    </xf>
    <xf numFmtId="0" fontId="65" fillId="36" borderId="17" xfId="0" applyFont="1" applyFill="1" applyBorder="1" applyAlignment="1">
      <alignment horizontal="center" vertical="center"/>
    </xf>
    <xf numFmtId="0" fontId="65" fillId="36" borderId="21" xfId="0" applyFont="1" applyFill="1" applyBorder="1" applyAlignment="1">
      <alignment horizontal="center" vertical="center"/>
    </xf>
    <xf numFmtId="0" fontId="65" fillId="36" borderId="22" xfId="0" applyFont="1" applyFill="1" applyBorder="1" applyAlignment="1">
      <alignment horizontal="center" vertical="center"/>
    </xf>
    <xf numFmtId="0" fontId="58" fillId="38" borderId="0" xfId="0" applyFont="1" applyFill="1" applyAlignment="1">
      <alignment horizontal="left" vertical="center"/>
    </xf>
    <xf numFmtId="2" fontId="55" fillId="36" borderId="11" xfId="0" applyNumberFormat="1" applyFont="1" applyFill="1" applyBorder="1" applyAlignment="1">
      <alignment horizontal="center" vertical="center"/>
    </xf>
    <xf numFmtId="2" fontId="55" fillId="34" borderId="11" xfId="0" applyNumberFormat="1" applyFont="1" applyFill="1" applyBorder="1" applyAlignment="1" applyProtection="1">
      <alignment horizontal="center" vertical="center"/>
      <protection locked="0"/>
    </xf>
    <xf numFmtId="0" fontId="56" fillId="36" borderId="0" xfId="0" applyFont="1" applyFill="1" applyAlignment="1">
      <alignment horizontal="left" vertical="center" wrapText="1"/>
    </xf>
    <xf numFmtId="0" fontId="63" fillId="36" borderId="11" xfId="0" applyFont="1" applyFill="1" applyBorder="1" applyAlignment="1">
      <alignment horizontal="left" vertical="center"/>
    </xf>
    <xf numFmtId="0" fontId="63" fillId="36" borderId="12" xfId="0" applyFont="1" applyFill="1" applyBorder="1" applyAlignment="1">
      <alignment horizontal="left" vertical="center"/>
    </xf>
    <xf numFmtId="9" fontId="63" fillId="36" borderId="12" xfId="0" applyNumberFormat="1" applyFont="1" applyFill="1" applyBorder="1" applyAlignment="1">
      <alignment horizontal="center"/>
    </xf>
    <xf numFmtId="9" fontId="63" fillId="36" borderId="14" xfId="0" applyNumberFormat="1" applyFont="1" applyFill="1" applyBorder="1" applyAlignment="1">
      <alignment horizontal="center"/>
    </xf>
    <xf numFmtId="9" fontId="63" fillId="36" borderId="13" xfId="0" applyNumberFormat="1" applyFont="1" applyFill="1" applyBorder="1" applyAlignment="1">
      <alignment horizontal="center"/>
    </xf>
    <xf numFmtId="0" fontId="55" fillId="36" borderId="21" xfId="0" applyFont="1" applyFill="1" applyBorder="1" applyAlignment="1">
      <alignment horizontal="center" vertical="center"/>
    </xf>
    <xf numFmtId="2" fontId="55" fillId="37" borderId="16" xfId="0" applyNumberFormat="1" applyFont="1" applyFill="1" applyBorder="1" applyAlignment="1">
      <alignment horizontal="center" vertical="center"/>
    </xf>
    <xf numFmtId="2" fontId="55" fillId="37" borderId="21" xfId="0" applyNumberFormat="1" applyFont="1" applyFill="1" applyBorder="1" applyAlignment="1">
      <alignment horizontal="center" vertical="center"/>
    </xf>
    <xf numFmtId="0" fontId="59" fillId="36" borderId="16" xfId="0" applyFont="1" applyFill="1" applyBorder="1" applyAlignment="1">
      <alignment horizontal="left" vertical="center"/>
    </xf>
    <xf numFmtId="0" fontId="59" fillId="36" borderId="21" xfId="0" applyFont="1" applyFill="1" applyBorder="1" applyAlignment="1">
      <alignment horizontal="left" vertical="center"/>
    </xf>
    <xf numFmtId="0" fontId="50" fillId="38" borderId="12" xfId="0" applyFont="1" applyFill="1" applyBorder="1" applyAlignment="1">
      <alignment horizontal="center"/>
    </xf>
    <xf numFmtId="0" fontId="50" fillId="38" borderId="14" xfId="0" applyFont="1" applyFill="1" applyBorder="1" applyAlignment="1">
      <alignment horizontal="center"/>
    </xf>
    <xf numFmtId="0" fontId="50" fillId="38" borderId="13" xfId="0" applyFont="1" applyFill="1" applyBorder="1" applyAlignment="1">
      <alignment horizontal="center"/>
    </xf>
    <xf numFmtId="0" fontId="59" fillId="36" borderId="14" xfId="0" applyFont="1" applyFill="1" applyBorder="1" applyAlignment="1">
      <alignment horizontal="left" vertical="center"/>
    </xf>
    <xf numFmtId="0" fontId="0" fillId="36" borderId="11" xfId="0" applyFill="1" applyBorder="1"/>
    <xf numFmtId="0" fontId="0" fillId="36" borderId="12" xfId="0" applyFill="1" applyBorder="1"/>
    <xf numFmtId="0" fontId="55" fillId="36" borderId="13" xfId="0" applyFont="1" applyFill="1" applyBorder="1" applyAlignment="1">
      <alignment horizontal="left" vertical="center"/>
    </xf>
    <xf numFmtId="0" fontId="55" fillId="34" borderId="12" xfId="0" applyFont="1" applyFill="1" applyBorder="1" applyAlignment="1" applyProtection="1">
      <alignment horizontal="center" vertical="center"/>
      <protection locked="0"/>
    </xf>
    <xf numFmtId="0" fontId="55" fillId="36" borderId="49" xfId="0" applyFont="1" applyFill="1" applyBorder="1" applyAlignment="1">
      <alignment horizontal="center" vertical="center"/>
    </xf>
    <xf numFmtId="0" fontId="55" fillId="36" borderId="47" xfId="0" applyFont="1" applyFill="1" applyBorder="1" applyAlignment="1">
      <alignment horizontal="center" vertical="center"/>
    </xf>
    <xf numFmtId="0" fontId="14" fillId="37" borderId="11" xfId="0" applyFont="1" applyFill="1" applyBorder="1" applyAlignment="1">
      <alignment horizontal="center"/>
    </xf>
    <xf numFmtId="0" fontId="54" fillId="36" borderId="13" xfId="0" applyFont="1" applyFill="1" applyBorder="1" applyAlignment="1">
      <alignment horizontal="center" vertical="center"/>
    </xf>
    <xf numFmtId="0" fontId="54" fillId="36" borderId="11" xfId="0" applyFont="1" applyFill="1" applyBorder="1" applyAlignment="1">
      <alignment horizontal="center" vertical="center"/>
    </xf>
    <xf numFmtId="2" fontId="59" fillId="36" borderId="12" xfId="0" applyNumberFormat="1" applyFont="1" applyFill="1" applyBorder="1" applyAlignment="1" applyProtection="1">
      <alignment horizontal="left" vertical="center"/>
      <protection locked="0"/>
    </xf>
    <xf numFmtId="2" fontId="59" fillId="36" borderId="14" xfId="0" applyNumberFormat="1" applyFont="1" applyFill="1" applyBorder="1" applyAlignment="1" applyProtection="1">
      <alignment horizontal="left" vertical="center"/>
      <protection locked="0"/>
    </xf>
    <xf numFmtId="2" fontId="59" fillId="36" borderId="13" xfId="0" applyNumberFormat="1" applyFont="1" applyFill="1" applyBorder="1" applyAlignment="1" applyProtection="1">
      <alignment horizontal="left" vertical="center"/>
      <protection locked="0"/>
    </xf>
    <xf numFmtId="0" fontId="65" fillId="36" borderId="0" xfId="0" applyFont="1" applyFill="1" applyAlignment="1">
      <alignment horizontal="left" vertical="center" wrapText="1"/>
    </xf>
    <xf numFmtId="0" fontId="59" fillId="36" borderId="15" xfId="0" applyFont="1" applyFill="1" applyBorder="1" applyAlignment="1">
      <alignment horizontal="left" vertical="center"/>
    </xf>
    <xf numFmtId="0" fontId="59" fillId="36" borderId="18" xfId="0" applyFont="1" applyFill="1" applyBorder="1" applyAlignment="1">
      <alignment horizontal="left" vertical="center"/>
    </xf>
    <xf numFmtId="0" fontId="59" fillId="36" borderId="20" xfId="0" applyFont="1" applyFill="1" applyBorder="1" applyAlignment="1">
      <alignment horizontal="left" vertical="center"/>
    </xf>
    <xf numFmtId="0" fontId="64" fillId="38" borderId="0" xfId="0" applyFont="1" applyFill="1" applyAlignment="1">
      <alignment horizontal="left" vertical="center"/>
    </xf>
    <xf numFmtId="0" fontId="64" fillId="38" borderId="0" xfId="0" applyFont="1" applyFill="1" applyAlignment="1">
      <alignment horizontal="center" vertical="center"/>
    </xf>
    <xf numFmtId="0" fontId="55" fillId="36" borderId="14" xfId="0" applyFont="1" applyFill="1" applyBorder="1" applyAlignment="1">
      <alignment horizontal="left" vertical="center"/>
    </xf>
    <xf numFmtId="0" fontId="61" fillId="36" borderId="15" xfId="0" applyFont="1" applyFill="1" applyBorder="1" applyAlignment="1">
      <alignment horizontal="center"/>
    </xf>
    <xf numFmtId="0" fontId="61" fillId="36" borderId="16" xfId="0" applyFont="1" applyFill="1" applyBorder="1" applyAlignment="1">
      <alignment horizontal="center"/>
    </xf>
    <xf numFmtId="0" fontId="61" fillId="36" borderId="20" xfId="0" applyFont="1" applyFill="1" applyBorder="1" applyAlignment="1">
      <alignment horizontal="center"/>
    </xf>
    <xf numFmtId="0" fontId="61" fillId="36" borderId="21" xfId="0" applyFont="1" applyFill="1" applyBorder="1" applyAlignment="1">
      <alignment horizontal="center"/>
    </xf>
    <xf numFmtId="0" fontId="55" fillId="36" borderId="13" xfId="0" applyFont="1" applyFill="1" applyBorder="1" applyAlignment="1">
      <alignment horizontal="center" vertical="center" wrapText="1"/>
    </xf>
    <xf numFmtId="0" fontId="55" fillId="36" borderId="11" xfId="0" applyFont="1" applyFill="1" applyBorder="1" applyAlignment="1">
      <alignment horizontal="center" vertical="center" wrapText="1"/>
    </xf>
    <xf numFmtId="0" fontId="65" fillId="36" borderId="12" xfId="0" applyFont="1" applyFill="1" applyBorder="1" applyAlignment="1">
      <alignment horizontal="center" vertical="center" wrapText="1"/>
    </xf>
    <xf numFmtId="2" fontId="55" fillId="36" borderId="11" xfId="0" applyNumberFormat="1" applyFont="1" applyFill="1" applyBorder="1" applyAlignment="1">
      <alignment horizontal="center" vertical="center" wrapText="1"/>
    </xf>
    <xf numFmtId="0" fontId="50" fillId="36" borderId="15" xfId="0" applyFont="1" applyFill="1" applyBorder="1" applyAlignment="1">
      <alignment horizontal="center" vertical="center" wrapText="1"/>
    </xf>
    <xf numFmtId="0" fontId="50" fillId="36" borderId="16" xfId="0" applyFont="1" applyFill="1" applyBorder="1" applyAlignment="1">
      <alignment horizontal="center" vertical="center" wrapText="1"/>
    </xf>
    <xf numFmtId="0" fontId="50" fillId="36" borderId="18" xfId="0" applyFont="1" applyFill="1" applyBorder="1" applyAlignment="1">
      <alignment horizontal="center" vertical="center" wrapText="1"/>
    </xf>
    <xf numFmtId="0" fontId="50" fillId="36" borderId="0" xfId="0" applyFont="1" applyFill="1" applyAlignment="1">
      <alignment horizontal="center" vertical="center" wrapText="1"/>
    </xf>
    <xf numFmtId="0" fontId="50" fillId="36" borderId="20" xfId="0" applyFont="1" applyFill="1" applyBorder="1" applyAlignment="1">
      <alignment horizontal="center" vertical="center" wrapText="1"/>
    </xf>
    <xf numFmtId="0" fontId="50" fillId="36" borderId="21" xfId="0" applyFont="1" applyFill="1" applyBorder="1" applyAlignment="1">
      <alignment horizontal="center" vertical="center" wrapText="1"/>
    </xf>
    <xf numFmtId="0" fontId="55" fillId="36" borderId="17" xfId="0" applyFont="1" applyFill="1" applyBorder="1" applyAlignment="1">
      <alignment horizontal="center" vertical="center"/>
    </xf>
    <xf numFmtId="0" fontId="55" fillId="36" borderId="15" xfId="0" applyFont="1" applyFill="1" applyBorder="1" applyAlignment="1">
      <alignment horizontal="center" vertical="center"/>
    </xf>
    <xf numFmtId="0" fontId="55" fillId="36" borderId="16" xfId="0" applyFont="1" applyFill="1" applyBorder="1" applyAlignment="1">
      <alignment horizontal="center" vertical="center" wrapText="1"/>
    </xf>
    <xf numFmtId="0" fontId="55" fillId="36" borderId="17" xfId="0" applyFont="1" applyFill="1" applyBorder="1" applyAlignment="1">
      <alignment horizontal="center" vertical="center" wrapText="1"/>
    </xf>
    <xf numFmtId="0" fontId="55" fillId="36" borderId="21" xfId="0" applyFont="1" applyFill="1" applyBorder="1" applyAlignment="1">
      <alignment horizontal="center" vertical="center" wrapText="1"/>
    </xf>
    <xf numFmtId="0" fontId="55" fillId="36" borderId="22" xfId="0" applyFont="1" applyFill="1" applyBorder="1" applyAlignment="1">
      <alignment horizontal="center" vertical="center" wrapText="1"/>
    </xf>
    <xf numFmtId="0" fontId="55" fillId="34" borderId="15" xfId="0" applyFont="1" applyFill="1" applyBorder="1" applyAlignment="1" applyProtection="1">
      <alignment horizontal="center" vertical="center"/>
      <protection locked="0"/>
    </xf>
    <xf numFmtId="0" fontId="55" fillId="34" borderId="17" xfId="0" applyFont="1" applyFill="1" applyBorder="1" applyAlignment="1" applyProtection="1">
      <alignment horizontal="center" vertical="center"/>
      <protection locked="0"/>
    </xf>
    <xf numFmtId="0" fontId="55" fillId="34" borderId="20" xfId="0" applyFont="1" applyFill="1" applyBorder="1" applyAlignment="1" applyProtection="1">
      <alignment horizontal="center" vertical="center"/>
      <protection locked="0"/>
    </xf>
    <xf numFmtId="0" fontId="55" fillId="34" borderId="22" xfId="0" applyFont="1" applyFill="1" applyBorder="1" applyAlignment="1" applyProtection="1">
      <alignment horizontal="center" vertical="center"/>
      <protection locked="0"/>
    </xf>
    <xf numFmtId="0" fontId="55" fillId="36" borderId="15" xfId="0" applyFont="1" applyFill="1" applyBorder="1" applyAlignment="1">
      <alignment horizontal="left" vertical="center" wrapText="1"/>
    </xf>
    <xf numFmtId="0" fontId="55" fillId="36" borderId="16" xfId="0" applyFont="1" applyFill="1" applyBorder="1" applyAlignment="1">
      <alignment horizontal="left" vertical="center" wrapText="1"/>
    </xf>
    <xf numFmtId="0" fontId="55" fillId="36" borderId="18" xfId="0" applyFont="1" applyFill="1" applyBorder="1" applyAlignment="1">
      <alignment horizontal="left" vertical="center" wrapText="1"/>
    </xf>
    <xf numFmtId="0" fontId="55" fillId="36" borderId="0" xfId="0" applyFont="1" applyFill="1" applyAlignment="1">
      <alignment horizontal="left" vertical="center" wrapText="1"/>
    </xf>
    <xf numFmtId="0" fontId="55" fillId="36" borderId="20" xfId="0" applyFont="1" applyFill="1" applyBorder="1" applyAlignment="1">
      <alignment horizontal="left" vertical="center" wrapText="1"/>
    </xf>
    <xf numFmtId="0" fontId="55" fillId="36" borderId="21" xfId="0" applyFont="1" applyFill="1" applyBorder="1" applyAlignment="1">
      <alignment horizontal="left" vertical="center" wrapText="1"/>
    </xf>
    <xf numFmtId="0" fontId="59" fillId="36" borderId="15" xfId="0" applyFont="1" applyFill="1" applyBorder="1" applyAlignment="1">
      <alignment horizontal="center"/>
    </xf>
    <xf numFmtId="0" fontId="59" fillId="36" borderId="16" xfId="0" applyFont="1" applyFill="1" applyBorder="1" applyAlignment="1">
      <alignment horizontal="center"/>
    </xf>
    <xf numFmtId="0" fontId="59" fillId="36" borderId="18" xfId="0" applyFont="1" applyFill="1" applyBorder="1" applyAlignment="1">
      <alignment horizontal="center"/>
    </xf>
    <xf numFmtId="0" fontId="59" fillId="36" borderId="0" xfId="0" applyFont="1" applyFill="1" applyAlignment="1">
      <alignment horizontal="center"/>
    </xf>
    <xf numFmtId="0" fontId="59" fillId="36" borderId="20" xfId="0" applyFont="1" applyFill="1" applyBorder="1" applyAlignment="1">
      <alignment horizontal="center"/>
    </xf>
    <xf numFmtId="0" fontId="59" fillId="36" borderId="21" xfId="0" applyFont="1" applyFill="1" applyBorder="1" applyAlignment="1">
      <alignment horizontal="center"/>
    </xf>
    <xf numFmtId="0" fontId="59" fillId="36" borderId="14" xfId="0" applyFont="1" applyFill="1" applyBorder="1" applyAlignment="1">
      <alignment horizontal="left"/>
    </xf>
    <xf numFmtId="168" fontId="55" fillId="36" borderId="24" xfId="0" applyNumberFormat="1" applyFont="1" applyFill="1" applyBorder="1" applyAlignment="1">
      <alignment horizontal="center" vertical="center"/>
    </xf>
    <xf numFmtId="168" fontId="55" fillId="36" borderId="23" xfId="0" applyNumberFormat="1" applyFont="1" applyFill="1" applyBorder="1" applyAlignment="1">
      <alignment horizontal="center" vertical="center"/>
    </xf>
    <xf numFmtId="0" fontId="55" fillId="36" borderId="70" xfId="0" applyFont="1" applyFill="1" applyBorder="1" applyAlignment="1">
      <alignment horizontal="left" vertical="center"/>
    </xf>
    <xf numFmtId="0" fontId="55" fillId="36" borderId="64" xfId="0" applyFont="1" applyFill="1" applyBorder="1" applyAlignment="1">
      <alignment horizontal="left" vertical="center"/>
    </xf>
    <xf numFmtId="0" fontId="55" fillId="36" borderId="63" xfId="0" applyFont="1" applyFill="1" applyBorder="1" applyAlignment="1">
      <alignment horizontal="left" vertical="center"/>
    </xf>
    <xf numFmtId="0" fontId="55" fillId="36" borderId="53" xfId="0" applyFont="1" applyFill="1" applyBorder="1" applyAlignment="1">
      <alignment horizontal="left" vertical="center"/>
    </xf>
    <xf numFmtId="0" fontId="55" fillId="36" borderId="62" xfId="0" applyFont="1" applyFill="1" applyBorder="1" applyAlignment="1">
      <alignment horizontal="left" vertical="center"/>
    </xf>
    <xf numFmtId="0" fontId="66" fillId="36" borderId="0" xfId="0" applyFont="1" applyFill="1" applyAlignment="1">
      <alignment horizontal="left" vertical="center" wrapText="1"/>
    </xf>
    <xf numFmtId="0" fontId="55" fillId="36" borderId="71" xfId="0" applyFont="1" applyFill="1" applyBorder="1" applyAlignment="1">
      <alignment horizontal="left" vertical="center"/>
    </xf>
    <xf numFmtId="0" fontId="55" fillId="36" borderId="72" xfId="0" applyFont="1" applyFill="1" applyBorder="1" applyAlignment="1">
      <alignment horizontal="left" vertical="center"/>
    </xf>
    <xf numFmtId="0" fontId="55" fillId="36" borderId="73" xfId="0" applyFont="1" applyFill="1" applyBorder="1" applyAlignment="1">
      <alignment horizontal="left" vertical="center"/>
    </xf>
    <xf numFmtId="0" fontId="55" fillId="36" borderId="63" xfId="0" applyFont="1" applyFill="1" applyBorder="1" applyAlignment="1">
      <alignment horizontal="center" vertical="center"/>
    </xf>
    <xf numFmtId="0" fontId="55" fillId="36" borderId="53" xfId="0" applyFont="1" applyFill="1" applyBorder="1" applyAlignment="1">
      <alignment horizontal="center" vertical="center"/>
    </xf>
    <xf numFmtId="0" fontId="54" fillId="36" borderId="0" xfId="0" applyFont="1" applyFill="1" applyAlignment="1">
      <alignment horizontal="left" vertical="center" wrapText="1"/>
    </xf>
    <xf numFmtId="0" fontId="67" fillId="34" borderId="0" xfId="0" applyFont="1" applyFill="1" applyAlignment="1" applyProtection="1">
      <alignment horizontal="center" vertical="center"/>
      <protection locked="0"/>
    </xf>
    <xf numFmtId="0" fontId="79" fillId="2" borderId="0" xfId="44" applyFont="1" applyFill="1" applyBorder="1" applyAlignment="1" applyProtection="1">
      <alignment horizontal="left" vertical="center"/>
    </xf>
    <xf numFmtId="0" fontId="20" fillId="36" borderId="0" xfId="0" applyFont="1" applyFill="1" applyAlignment="1">
      <alignment horizontal="center" vertical="center"/>
    </xf>
    <xf numFmtId="0" fontId="19" fillId="2" borderId="0" xfId="0" applyFont="1" applyFill="1" applyAlignment="1">
      <alignment horizontal="left" vertical="center" wrapText="1"/>
    </xf>
    <xf numFmtId="0" fontId="44" fillId="36" borderId="0" xfId="0" applyFont="1" applyFill="1" applyAlignment="1">
      <alignment horizontal="center" vertical="center"/>
    </xf>
    <xf numFmtId="3" fontId="36" fillId="2" borderId="44" xfId="0" applyNumberFormat="1" applyFont="1" applyFill="1" applyBorder="1" applyAlignment="1">
      <alignment horizontal="center" vertical="center" wrapText="1"/>
    </xf>
    <xf numFmtId="3" fontId="36" fillId="2" borderId="45" xfId="0" applyNumberFormat="1" applyFont="1" applyFill="1" applyBorder="1" applyAlignment="1">
      <alignment horizontal="center" vertical="center" wrapText="1"/>
    </xf>
    <xf numFmtId="3" fontId="36" fillId="2" borderId="46" xfId="0" applyNumberFormat="1" applyFont="1" applyFill="1" applyBorder="1" applyAlignment="1">
      <alignment horizontal="center" vertical="center" wrapText="1"/>
    </xf>
    <xf numFmtId="3" fontId="36" fillId="2" borderId="47" xfId="0" applyNumberFormat="1" applyFont="1" applyFill="1" applyBorder="1" applyAlignment="1">
      <alignment horizontal="center" vertical="center" wrapText="1"/>
    </xf>
    <xf numFmtId="3" fontId="36" fillId="2" borderId="43" xfId="0" applyNumberFormat="1" applyFont="1" applyFill="1" applyBorder="1" applyAlignment="1">
      <alignment horizontal="center" vertical="center" wrapText="1"/>
    </xf>
    <xf numFmtId="3" fontId="36" fillId="2" borderId="48" xfId="0" applyNumberFormat="1" applyFont="1" applyFill="1" applyBorder="1" applyAlignment="1">
      <alignment horizontal="center" vertical="center" wrapText="1"/>
    </xf>
    <xf numFmtId="0" fontId="20" fillId="38" borderId="0" xfId="0" applyFont="1" applyFill="1" applyAlignment="1">
      <alignment horizontal="center" vertical="center"/>
    </xf>
    <xf numFmtId="0" fontId="36" fillId="2" borderId="0" xfId="0" applyFont="1" applyFill="1" applyAlignment="1">
      <alignment horizontal="left" vertical="center"/>
    </xf>
    <xf numFmtId="0" fontId="19" fillId="2" borderId="0" xfId="0" applyFont="1" applyFill="1" applyAlignment="1">
      <alignment horizontal="left" vertical="center"/>
    </xf>
    <xf numFmtId="1" fontId="0" fillId="2" borderId="0" xfId="0" applyNumberFormat="1" applyFill="1" applyAlignment="1">
      <alignment horizontal="center" vertical="center"/>
    </xf>
    <xf numFmtId="0" fontId="22" fillId="2" borderId="0" xfId="0" applyFont="1" applyFill="1" applyAlignment="1">
      <alignment horizontal="center" vertical="center"/>
    </xf>
    <xf numFmtId="0" fontId="21" fillId="2" borderId="0" xfId="0" applyFont="1" applyFill="1" applyAlignment="1">
      <alignment horizontal="center" vertical="center"/>
    </xf>
    <xf numFmtId="171" fontId="33" fillId="2" borderId="0" xfId="0" applyNumberFormat="1" applyFont="1" applyFill="1" applyAlignment="1">
      <alignment horizontal="center"/>
    </xf>
    <xf numFmtId="3" fontId="33" fillId="2" borderId="0" xfId="0" applyNumberFormat="1" applyFont="1" applyFill="1" applyAlignment="1">
      <alignment horizontal="center"/>
    </xf>
    <xf numFmtId="0" fontId="44" fillId="37" borderId="0" xfId="0" applyFont="1" applyFill="1" applyAlignment="1">
      <alignment horizontal="center" vertical="center"/>
    </xf>
    <xf numFmtId="0" fontId="20" fillId="37" borderId="0" xfId="0" applyFont="1" applyFill="1" applyAlignment="1">
      <alignment horizontal="center" vertical="center"/>
    </xf>
    <xf numFmtId="0" fontId="44" fillId="38" borderId="0" xfId="0" applyFont="1" applyFill="1" applyAlignment="1">
      <alignment horizontal="center" vertical="center"/>
    </xf>
    <xf numFmtId="0" fontId="50" fillId="36" borderId="57" xfId="0" applyFont="1" applyFill="1" applyBorder="1" applyAlignment="1">
      <alignment horizontal="center" vertical="center" wrapText="1"/>
    </xf>
    <xf numFmtId="0" fontId="50" fillId="36" borderId="58" xfId="0" applyFont="1" applyFill="1" applyBorder="1" applyAlignment="1">
      <alignment horizontal="center" vertical="center" wrapText="1"/>
    </xf>
    <xf numFmtId="0" fontId="56" fillId="36" borderId="0" xfId="44" quotePrefix="1" applyFont="1" applyFill="1" applyAlignment="1" applyProtection="1">
      <alignment horizontal="left" vertical="center" wrapText="1"/>
    </xf>
    <xf numFmtId="0" fontId="56" fillId="36" borderId="0" xfId="44" applyFont="1" applyFill="1" applyAlignment="1" applyProtection="1">
      <alignment horizontal="left" vertical="center" wrapText="1"/>
    </xf>
    <xf numFmtId="0" fontId="69" fillId="36" borderId="0" xfId="0" applyFont="1" applyFill="1" applyAlignment="1">
      <alignment horizontal="center" vertical="center" wrapText="1"/>
    </xf>
    <xf numFmtId="0" fontId="55" fillId="37" borderId="11" xfId="0" applyFont="1" applyFill="1" applyBorder="1" applyAlignment="1">
      <alignment horizontal="left"/>
    </xf>
    <xf numFmtId="0" fontId="55" fillId="36" borderId="11" xfId="0" applyFont="1" applyFill="1" applyBorder="1" applyAlignment="1">
      <alignment horizontal="center"/>
    </xf>
    <xf numFmtId="0" fontId="50" fillId="36" borderId="11" xfId="0" applyFont="1" applyFill="1" applyBorder="1" applyAlignment="1">
      <alignment horizontal="center" vertical="center"/>
    </xf>
    <xf numFmtId="0" fontId="55" fillId="38" borderId="11" xfId="0" applyFont="1" applyFill="1" applyBorder="1" applyAlignment="1">
      <alignment horizontal="center" vertical="center"/>
    </xf>
    <xf numFmtId="0" fontId="55" fillId="38" borderId="12" xfId="0" applyFont="1" applyFill="1" applyBorder="1" applyAlignment="1">
      <alignment horizontal="center" vertical="center" wrapText="1"/>
    </xf>
    <xf numFmtId="0" fontId="55" fillId="38" borderId="13" xfId="0" applyFont="1" applyFill="1" applyBorder="1" applyAlignment="1">
      <alignment horizontal="center" vertical="center" wrapText="1"/>
    </xf>
    <xf numFmtId="0" fontId="55" fillId="38" borderId="24" xfId="0" applyFont="1" applyFill="1" applyBorder="1" applyAlignment="1">
      <alignment horizontal="center" vertical="center"/>
    </xf>
    <xf numFmtId="0" fontId="55" fillId="38" borderId="23" xfId="0" applyFont="1" applyFill="1" applyBorder="1" applyAlignment="1">
      <alignment horizontal="center" vertical="center"/>
    </xf>
    <xf numFmtId="0" fontId="68" fillId="38" borderId="12" xfId="0" applyFont="1" applyFill="1" applyBorder="1" applyAlignment="1">
      <alignment horizontal="center" vertical="center"/>
    </xf>
    <xf numFmtId="0" fontId="68" fillId="38" borderId="13" xfId="0" applyFont="1" applyFill="1" applyBorder="1" applyAlignment="1">
      <alignment horizontal="center" vertical="center"/>
    </xf>
    <xf numFmtId="0" fontId="50" fillId="36" borderId="12" xfId="0" applyFont="1" applyFill="1" applyBorder="1" applyAlignment="1">
      <alignment horizontal="center"/>
    </xf>
    <xf numFmtId="0" fontId="50" fillId="36" borderId="14" xfId="0" applyFont="1" applyFill="1" applyBorder="1" applyAlignment="1">
      <alignment horizontal="center"/>
    </xf>
    <xf numFmtId="0" fontId="50" fillId="36" borderId="13" xfId="0" applyFont="1" applyFill="1" applyBorder="1" applyAlignment="1">
      <alignment horizontal="center"/>
    </xf>
    <xf numFmtId="0" fontId="17" fillId="0" borderId="37" xfId="0" applyFont="1" applyBorder="1" applyAlignment="1">
      <alignment horizontal="center" vertical="center"/>
    </xf>
    <xf numFmtId="0" fontId="17" fillId="0" borderId="38" xfId="0" applyFont="1" applyBorder="1" applyAlignment="1">
      <alignment horizontal="center" vertical="center"/>
    </xf>
    <xf numFmtId="0" fontId="17" fillId="0" borderId="40" xfId="0" applyFont="1" applyBorder="1" applyAlignment="1">
      <alignment horizontal="center"/>
    </xf>
    <xf numFmtId="0" fontId="17" fillId="0" borderId="41" xfId="0" applyFont="1" applyBorder="1" applyAlignment="1">
      <alignment horizontal="center"/>
    </xf>
    <xf numFmtId="0" fontId="17" fillId="0" borderId="42" xfId="0" applyFont="1" applyBorder="1" applyAlignment="1">
      <alignment horizontal="center"/>
    </xf>
    <xf numFmtId="0" fontId="1" fillId="0" borderId="11" xfId="1" applyBorder="1" applyAlignment="1">
      <alignment horizontal="center" vertical="center" wrapText="1"/>
    </xf>
    <xf numFmtId="0" fontId="49" fillId="2" borderId="12" xfId="0" applyFont="1" applyFill="1" applyBorder="1" applyAlignment="1">
      <alignment horizontal="center" vertical="center"/>
    </xf>
    <xf numFmtId="0" fontId="49" fillId="2" borderId="14" xfId="0" applyFont="1" applyFill="1" applyBorder="1" applyAlignment="1">
      <alignment horizontal="center" vertical="center"/>
    </xf>
    <xf numFmtId="0" fontId="49" fillId="2" borderId="13" xfId="0" applyFont="1" applyFill="1" applyBorder="1" applyAlignment="1">
      <alignment horizontal="center" vertical="center"/>
    </xf>
    <xf numFmtId="0" fontId="17" fillId="2" borderId="11" xfId="0" applyFont="1" applyFill="1" applyBorder="1" applyAlignment="1">
      <alignment horizontal="left" wrapText="1"/>
    </xf>
    <xf numFmtId="0" fontId="17" fillId="2" borderId="11" xfId="0" applyFont="1" applyFill="1" applyBorder="1" applyAlignment="1">
      <alignment horizontal="left" vertical="center"/>
    </xf>
    <xf numFmtId="0" fontId="42" fillId="38" borderId="11" xfId="0" applyFont="1" applyFill="1" applyBorder="1" applyAlignment="1">
      <alignment horizontal="center" vertical="center"/>
    </xf>
    <xf numFmtId="0" fontId="17" fillId="0" borderId="11" xfId="0" applyFont="1" applyBorder="1" applyAlignment="1">
      <alignment horizontal="left"/>
    </xf>
    <xf numFmtId="0" fontId="49" fillId="2" borderId="11" xfId="0" applyFont="1" applyFill="1" applyBorder="1" applyAlignment="1">
      <alignment horizontal="center" vertical="center"/>
    </xf>
    <xf numFmtId="0" fontId="54" fillId="36" borderId="0" xfId="0" applyFont="1" applyFill="1" applyAlignment="1">
      <alignment horizontal="center" vertical="center"/>
    </xf>
    <xf numFmtId="0" fontId="54" fillId="36" borderId="19" xfId="0" applyFont="1" applyFill="1" applyBorder="1" applyAlignment="1">
      <alignment horizontal="center" vertical="center"/>
    </xf>
    <xf numFmtId="0" fontId="42" fillId="37" borderId="12" xfId="0" applyFont="1" applyFill="1" applyBorder="1" applyAlignment="1">
      <alignment horizontal="center" vertical="center"/>
    </xf>
    <xf numFmtId="0" fontId="42" fillId="37" borderId="14" xfId="0" applyFont="1" applyFill="1" applyBorder="1" applyAlignment="1">
      <alignment horizontal="center" vertical="center"/>
    </xf>
    <xf numFmtId="0" fontId="42" fillId="37" borderId="13" xfId="0" applyFont="1" applyFill="1" applyBorder="1" applyAlignment="1">
      <alignment horizontal="center" vertical="center"/>
    </xf>
    <xf numFmtId="0" fontId="17" fillId="2" borderId="11" xfId="0" applyFont="1" applyFill="1" applyBorder="1" applyAlignment="1">
      <alignment horizontal="left"/>
    </xf>
  </cellXfs>
  <cellStyles count="49">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Hipervínculo" xfId="44" builtinId="8"/>
    <cellStyle name="Incorrecto" xfId="9" builtinId="27" customBuiltin="1"/>
    <cellStyle name="Millares 2" xfId="48" xr:uid="{00000000-0005-0000-0000-000021000000}"/>
    <cellStyle name="Moneda" xfId="45" builtinId="4"/>
    <cellStyle name="Moneda [0]" xfId="47" builtinId="7"/>
    <cellStyle name="Moneda 2" xfId="2" xr:uid="{00000000-0005-0000-0000-000024000000}"/>
    <cellStyle name="Neutral" xfId="10" builtinId="28" customBuiltin="1"/>
    <cellStyle name="Normal" xfId="0" builtinId="0"/>
    <cellStyle name="Normal 2" xfId="1" xr:uid="{00000000-0005-0000-0000-000027000000}"/>
    <cellStyle name="Normal_~0057627" xfId="46" xr:uid="{00000000-0005-0000-0000-000028000000}"/>
    <cellStyle name="Notas" xfId="17" builtinId="10" customBuiltin="1"/>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130">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bgColor rgb="FF00B050"/>
        </patternFill>
      </fill>
    </dxf>
    <dxf>
      <font>
        <b/>
        <i val="0"/>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53333"/>
        </patternFill>
      </fill>
    </dxf>
    <dxf>
      <font>
        <color rgb="FF2B2B62"/>
      </font>
      <fill>
        <patternFill>
          <bgColor rgb="FF2B2B62"/>
        </patternFill>
      </fill>
      <border>
        <left/>
        <right/>
        <top/>
        <bottom style="thin">
          <color auto="1"/>
        </bottom>
        <vertical/>
        <horizontal/>
      </border>
    </dxf>
    <dxf>
      <font>
        <color rgb="FF2B2B62"/>
      </font>
      <fill>
        <patternFill>
          <bgColor rgb="FF2B2B62"/>
        </patternFill>
      </fill>
      <border>
        <left/>
        <right/>
        <top style="thin">
          <color auto="1"/>
        </top>
        <bottom/>
        <vertical/>
        <horizontal/>
      </border>
    </dxf>
    <dxf>
      <font>
        <color rgb="FF2B2B62"/>
      </font>
      <fill>
        <patternFill>
          <bgColor rgb="FF2B2B62"/>
        </patternFill>
      </fill>
      <border>
        <left/>
        <right/>
        <top style="thin">
          <color auto="1"/>
        </top>
        <bottom style="thin">
          <color auto="1"/>
        </bottom>
      </border>
    </dxf>
    <dxf>
      <font>
        <color rgb="FF2B2B62"/>
      </font>
      <fill>
        <patternFill>
          <bgColor rgb="FF2B2B62"/>
        </patternFill>
      </fill>
      <border>
        <left/>
        <right/>
        <top/>
        <bottom/>
        <vertical/>
        <horizontal/>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2B2B62"/>
        </patternFill>
      </fill>
    </dxf>
    <dxf>
      <font>
        <color rgb="FF2B2B62"/>
      </font>
      <fill>
        <patternFill>
          <bgColor rgb="FF2B2B62"/>
        </patternFill>
      </fill>
      <border>
        <left/>
        <right/>
        <top/>
        <bottom/>
        <vertical/>
        <horizontal/>
      </border>
    </dxf>
    <dxf>
      <font>
        <color rgb="FF2B2B62"/>
      </font>
      <fill>
        <patternFill>
          <bgColor rgb="FF2B2B62"/>
        </patternFill>
      </fill>
      <border>
        <left/>
        <right/>
        <top/>
        <bottom/>
        <vertical/>
        <horizontal/>
      </border>
    </dxf>
    <dxf>
      <font>
        <b/>
        <i val="0"/>
        <color theme="0"/>
      </font>
      <fill>
        <patternFill>
          <bgColor rgb="FFFF0000"/>
        </patternFill>
      </fill>
    </dxf>
    <dxf>
      <font>
        <color rgb="FF2B2B62"/>
      </font>
      <fill>
        <patternFill>
          <bgColor rgb="FF2B2B62"/>
        </patternFill>
      </fill>
      <border>
        <left/>
        <right/>
        <top/>
        <bottom/>
        <vertical/>
        <horizontal/>
      </border>
    </dxf>
    <dxf>
      <font>
        <color rgb="FF2B2B62"/>
      </font>
      <fill>
        <patternFill>
          <bgColor rgb="FF2B2B62"/>
        </patternFill>
      </fill>
      <border>
        <left/>
        <right/>
        <top style="thin">
          <color auto="1"/>
        </top>
        <bottom/>
        <vertical/>
        <horizontal/>
      </border>
    </dxf>
    <dxf>
      <font>
        <color theme="0"/>
      </font>
      <border>
        <left style="thin">
          <color auto="1"/>
        </left>
        <right/>
        <top style="thin">
          <color auto="1"/>
        </top>
        <bottom style="thin">
          <color auto="1"/>
        </bottom>
        <vertical/>
        <horizontal/>
      </border>
    </dxf>
    <dxf>
      <font>
        <color rgb="FF2B2B62"/>
      </font>
      <border>
        <vertical/>
        <horizontal/>
      </border>
    </dxf>
    <dxf>
      <font>
        <color theme="0"/>
      </font>
      <border>
        <left style="thin">
          <color auto="1"/>
        </left>
        <right/>
        <top style="thin">
          <color auto="1"/>
        </top>
        <bottom style="thin">
          <color auto="1"/>
        </bottom>
        <vertical/>
        <horizontal/>
      </border>
    </dxf>
    <dxf>
      <font>
        <color rgb="FF2B2B62"/>
      </font>
      <border>
        <vertical/>
        <horizontal/>
      </border>
    </dxf>
    <dxf>
      <font>
        <color theme="0"/>
      </font>
      <border>
        <left style="thin">
          <color auto="1"/>
        </left>
        <right/>
        <top style="thin">
          <color auto="1"/>
        </top>
        <bottom style="thin">
          <color auto="1"/>
        </bottom>
        <vertical/>
        <horizontal/>
      </border>
    </dxf>
    <dxf>
      <font>
        <color rgb="FF2B2B62"/>
      </font>
      <border>
        <vertical/>
        <horizontal/>
      </border>
    </dxf>
    <dxf>
      <font>
        <color theme="0"/>
      </font>
      <border>
        <left style="thin">
          <color auto="1"/>
        </left>
        <right/>
        <top style="thin">
          <color auto="1"/>
        </top>
        <bottom style="thin">
          <color auto="1"/>
        </bottom>
        <vertical/>
        <horizontal/>
      </border>
    </dxf>
    <dxf>
      <font>
        <color rgb="FF2B2B62"/>
      </font>
      <border>
        <vertical/>
        <horizontal/>
      </border>
    </dxf>
    <dxf>
      <font>
        <color theme="0"/>
      </font>
      <border>
        <left style="thin">
          <color auto="1"/>
        </left>
        <right style="thin">
          <color auto="1"/>
        </right>
        <top style="thin">
          <color auto="1"/>
        </top>
        <bottom style="thin">
          <color auto="1"/>
        </bottom>
        <vertical/>
        <horizontal/>
      </border>
    </dxf>
    <dxf>
      <font>
        <color rgb="FF2B2B62"/>
      </font>
      <fill>
        <patternFill>
          <bgColor rgb="FF2B2B62"/>
        </patternFill>
      </fill>
      <border>
        <vertical/>
        <horizontal/>
      </border>
    </dxf>
    <dxf>
      <font>
        <color theme="0"/>
      </font>
      <border>
        <left style="thin">
          <color auto="1"/>
        </left>
        <right style="thin">
          <color auto="1"/>
        </right>
        <top style="thin">
          <color auto="1"/>
        </top>
        <bottom style="thin">
          <color auto="1"/>
        </bottom>
        <vertical/>
        <horizontal/>
      </border>
    </dxf>
    <dxf>
      <font>
        <color rgb="FF2B2B62"/>
      </font>
      <fill>
        <patternFill>
          <bgColor rgb="FF2B2B62"/>
        </patternFill>
      </fill>
      <border>
        <vertical/>
        <horizontal/>
      </border>
    </dxf>
    <dxf>
      <font>
        <color rgb="FF2B2B62"/>
      </font>
      <fill>
        <patternFill>
          <bgColor rgb="FF2B2B62"/>
        </patternFill>
      </fill>
      <border>
        <vertical/>
        <horizontal/>
      </border>
    </dxf>
    <dxf>
      <font>
        <color theme="0"/>
      </font>
      <border>
        <left style="thin">
          <color auto="1"/>
        </left>
        <right style="thin">
          <color auto="1"/>
        </right>
        <top style="thin">
          <color auto="1"/>
        </top>
        <bottom style="thin">
          <color auto="1"/>
        </bottom>
        <vertical/>
        <horizontal/>
      </border>
    </dxf>
    <dxf>
      <font>
        <color rgb="FF2B2B62"/>
      </font>
      <fill>
        <patternFill>
          <bgColor rgb="FF2B2B62"/>
        </patternFill>
      </fill>
      <border>
        <vertical/>
        <horizontal/>
      </border>
    </dxf>
    <dxf>
      <font>
        <color theme="0"/>
      </font>
      <border>
        <left style="thin">
          <color auto="1"/>
        </left>
        <right style="thin">
          <color auto="1"/>
        </right>
        <top style="thin">
          <color auto="1"/>
        </top>
        <bottom style="thin">
          <color auto="1"/>
        </bottom>
        <vertical/>
        <horizontal/>
      </border>
    </dxf>
    <dxf>
      <font>
        <color rgb="FF2B2B62"/>
      </font>
      <fill>
        <patternFill>
          <bgColor rgb="FF2B2B62"/>
        </patternFill>
      </fill>
      <border>
        <vertical/>
        <horizontal/>
      </border>
    </dxf>
    <dxf>
      <font>
        <color theme="0"/>
      </font>
      <border>
        <left style="thin">
          <color auto="1"/>
        </left>
        <right style="thin">
          <color auto="1"/>
        </right>
        <top style="thin">
          <color auto="1"/>
        </top>
        <bottom style="thin">
          <color auto="1"/>
        </bottom>
      </border>
    </dxf>
    <dxf>
      <font>
        <color rgb="FF2B2B62"/>
      </font>
    </dxf>
    <dxf>
      <font>
        <color theme="0"/>
      </font>
      <border>
        <left style="thin">
          <color auto="1"/>
        </left>
        <right style="thin">
          <color auto="1"/>
        </right>
        <top style="thin">
          <color auto="1"/>
        </top>
        <bottom style="thin">
          <color auto="1"/>
        </bottom>
      </border>
    </dxf>
    <dxf>
      <font>
        <color rgb="FF2B2B62"/>
      </font>
    </dxf>
    <dxf>
      <font>
        <color theme="0"/>
      </font>
      <border>
        <left style="thin">
          <color auto="1"/>
        </left>
        <right style="thin">
          <color auto="1"/>
        </right>
        <top style="thin">
          <color auto="1"/>
        </top>
        <bottom style="thin">
          <color auto="1"/>
        </bottom>
      </border>
    </dxf>
    <dxf>
      <font>
        <color rgb="FF2B2B62"/>
      </font>
    </dxf>
    <dxf>
      <font>
        <color theme="0"/>
      </font>
      <border>
        <left style="thin">
          <color auto="1"/>
        </left>
        <right style="thin">
          <color auto="1"/>
        </right>
        <top style="thin">
          <color auto="1"/>
        </top>
        <bottom style="thin">
          <color auto="1"/>
        </bottom>
      </border>
    </dxf>
    <dxf>
      <font>
        <color rgb="FF2B2B62"/>
      </font>
    </dxf>
    <dxf>
      <font>
        <color theme="0"/>
      </font>
      <border>
        <left style="thin">
          <color auto="1"/>
        </left>
        <right style="thin">
          <color auto="1"/>
        </right>
        <top style="thin">
          <color auto="1"/>
        </top>
        <bottom style="thin">
          <color auto="1"/>
        </bottom>
        <vertical/>
        <horizontal/>
      </border>
    </dxf>
    <dxf>
      <font>
        <color rgb="FF2B2B62"/>
      </font>
      <fill>
        <patternFill>
          <bgColor rgb="FF2B2B62"/>
        </patternFill>
      </fill>
      <border>
        <vertical/>
        <horizontal/>
      </border>
    </dxf>
    <dxf>
      <font>
        <color theme="0"/>
      </font>
      <border>
        <left style="thin">
          <color auto="1"/>
        </left>
        <right style="thin">
          <color auto="1"/>
        </right>
        <top style="thin">
          <color auto="1"/>
        </top>
        <bottom style="thin">
          <color auto="1"/>
        </bottom>
        <vertical/>
        <horizontal/>
      </border>
    </dxf>
    <dxf>
      <font>
        <color rgb="FF2B2B62"/>
      </font>
      <fill>
        <patternFill>
          <bgColor rgb="FF2B2B62"/>
        </patternFill>
      </fill>
      <border>
        <vertical/>
        <horizontal/>
      </border>
    </dxf>
    <dxf>
      <font>
        <color rgb="FF2B2B62"/>
      </font>
      <fill>
        <patternFill>
          <bgColor rgb="FF2B2B62"/>
        </patternFill>
      </fill>
      <border>
        <vertical/>
        <horizontal/>
      </border>
    </dxf>
    <dxf>
      <font>
        <color theme="0"/>
      </font>
      <border>
        <left style="thin">
          <color auto="1"/>
        </left>
        <right style="thin">
          <color auto="1"/>
        </right>
        <top style="thin">
          <color auto="1"/>
        </top>
        <bottom style="thin">
          <color auto="1"/>
        </bottom>
        <vertical/>
        <horizontal/>
      </border>
    </dxf>
    <dxf>
      <font>
        <color rgb="FF2B2B62"/>
      </font>
      <fill>
        <patternFill>
          <bgColor rgb="FF2B2B62"/>
        </patternFill>
      </fill>
      <border>
        <vertical/>
        <horizontal/>
      </border>
    </dxf>
    <dxf>
      <font>
        <color theme="0"/>
      </font>
      <border>
        <left style="thin">
          <color auto="1"/>
        </left>
        <right style="thin">
          <color auto="1"/>
        </right>
        <top style="thin">
          <color auto="1"/>
        </top>
        <bottom style="thin">
          <color auto="1"/>
        </bottom>
        <vertical/>
        <horizontal/>
      </border>
    </dxf>
    <dxf>
      <font>
        <color rgb="FF2B2B62"/>
      </font>
      <fill>
        <patternFill>
          <bgColor rgb="FF2B2B62"/>
        </patternFill>
      </fill>
      <border>
        <vertical/>
        <horizontal/>
      </border>
    </dxf>
    <dxf>
      <font>
        <color theme="0"/>
      </font>
      <border>
        <left style="thin">
          <color auto="1"/>
        </left>
        <right style="thin">
          <color auto="1"/>
        </right>
        <top style="thin">
          <color auto="1"/>
        </top>
        <bottom style="thin">
          <color auto="1"/>
        </bottom>
      </border>
    </dxf>
    <dxf>
      <font>
        <color rgb="FF2B2B62"/>
      </font>
    </dxf>
    <dxf>
      <font>
        <color theme="0"/>
      </font>
      <border>
        <left style="thin">
          <color auto="1"/>
        </left>
        <right style="thin">
          <color auto="1"/>
        </right>
        <top style="thin">
          <color auto="1"/>
        </top>
        <bottom style="thin">
          <color auto="1"/>
        </bottom>
      </border>
    </dxf>
    <dxf>
      <font>
        <color rgb="FF2B2B62"/>
      </font>
    </dxf>
    <dxf>
      <font>
        <color theme="0"/>
      </font>
      <border>
        <left style="thin">
          <color auto="1"/>
        </left>
        <right style="thin">
          <color auto="1"/>
        </right>
        <top style="thin">
          <color auto="1"/>
        </top>
        <bottom style="thin">
          <color auto="1"/>
        </bottom>
      </border>
    </dxf>
    <dxf>
      <font>
        <color rgb="FF2B2B62"/>
      </font>
    </dxf>
    <dxf>
      <font>
        <color theme="0"/>
      </font>
      <border>
        <left style="thin">
          <color auto="1"/>
        </left>
        <right style="thin">
          <color auto="1"/>
        </right>
        <top style="thin">
          <color auto="1"/>
        </top>
        <bottom style="thin">
          <color auto="1"/>
        </bottom>
      </border>
    </dxf>
    <dxf>
      <font>
        <color rgb="FF2B2B62"/>
      </font>
    </dxf>
    <dxf>
      <font>
        <color rgb="FF2B2B62"/>
      </font>
      <fill>
        <patternFill>
          <bgColor rgb="FF2B2B62"/>
        </patternFill>
      </fill>
      <border>
        <left/>
        <right/>
        <top/>
        <bottom/>
      </border>
    </dxf>
    <dxf>
      <font>
        <color rgb="FF2B2B62"/>
      </font>
      <fill>
        <patternFill>
          <bgColor rgb="FF2B2B62"/>
        </patternFill>
      </fill>
      <border>
        <left/>
        <right/>
        <top/>
        <bottom/>
        <vertical/>
        <horizontal/>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2B2B62"/>
        </patternFill>
      </fill>
    </dxf>
    <dxf>
      <font>
        <color rgb="FF2B2B62"/>
      </font>
      <fill>
        <patternFill>
          <bgColor rgb="FF2B2B62"/>
        </patternFill>
      </fill>
      <border>
        <left/>
        <right/>
        <top style="thin">
          <color auto="1"/>
        </top>
        <bottom style="thin">
          <color auto="1"/>
        </bottom>
        <vertical/>
        <horizontal/>
      </border>
    </dxf>
    <dxf>
      <font>
        <color rgb="FF2B2B62"/>
      </font>
      <fill>
        <patternFill>
          <bgColor rgb="FF2B2B62"/>
        </patternFill>
      </fill>
      <border>
        <left/>
        <right/>
        <top/>
        <bottom/>
        <vertical/>
        <horizontal/>
      </border>
    </dxf>
    <dxf>
      <font>
        <color rgb="FF2B2B62"/>
      </font>
      <fill>
        <patternFill>
          <bgColor rgb="FF2B2B62"/>
        </patternFill>
      </fill>
      <border>
        <left/>
        <right/>
        <top style="thin">
          <color auto="1"/>
        </top>
        <bottom/>
        <vertical/>
        <horizontal/>
      </border>
    </dxf>
    <dxf>
      <font>
        <color theme="0"/>
      </font>
      <border>
        <left style="thin">
          <color auto="1"/>
        </left>
        <right/>
        <top style="thin">
          <color auto="1"/>
        </top>
        <bottom style="thin">
          <color auto="1"/>
        </bottom>
        <vertical/>
        <horizontal/>
      </border>
    </dxf>
    <dxf>
      <font>
        <color rgb="FF2B2B62"/>
      </font>
      <border>
        <vertical/>
        <horizontal/>
      </border>
    </dxf>
    <dxf>
      <font>
        <color theme="0"/>
      </font>
      <border>
        <left style="thin">
          <color auto="1"/>
        </left>
        <right/>
        <top style="thin">
          <color auto="1"/>
        </top>
        <bottom style="thin">
          <color auto="1"/>
        </bottom>
        <vertical/>
        <horizontal/>
      </border>
    </dxf>
    <dxf>
      <font>
        <color rgb="FF2B2B62"/>
      </font>
      <border>
        <vertical/>
        <horizontal/>
      </border>
    </dxf>
    <dxf>
      <font>
        <color theme="0"/>
      </font>
      <border>
        <left style="thin">
          <color auto="1"/>
        </left>
        <right/>
        <top style="thin">
          <color auto="1"/>
        </top>
        <bottom style="thin">
          <color auto="1"/>
        </bottom>
        <vertical/>
        <horizontal/>
      </border>
    </dxf>
    <dxf>
      <font>
        <color rgb="FF2B2B62"/>
      </font>
      <border>
        <vertical/>
        <horizontal/>
      </border>
    </dxf>
    <dxf>
      <font>
        <color theme="0"/>
      </font>
      <border>
        <left style="thin">
          <color auto="1"/>
        </left>
        <right/>
        <top style="thin">
          <color auto="1"/>
        </top>
        <bottom style="thin">
          <color auto="1"/>
        </bottom>
        <vertical/>
        <horizontal/>
      </border>
    </dxf>
    <dxf>
      <font>
        <color rgb="FF2B2B62"/>
      </font>
      <border>
        <vertical/>
        <horizontal/>
      </border>
    </dxf>
    <dxf>
      <font>
        <color theme="0"/>
      </font>
      <border>
        <left style="thin">
          <color auto="1"/>
        </left>
        <right style="thin">
          <color auto="1"/>
        </right>
        <top style="thin">
          <color auto="1"/>
        </top>
        <bottom style="thin">
          <color auto="1"/>
        </bottom>
        <vertical/>
        <horizontal/>
      </border>
    </dxf>
    <dxf>
      <font>
        <color rgb="FF2B2B62"/>
      </font>
      <fill>
        <patternFill>
          <bgColor rgb="FF2B2B62"/>
        </patternFill>
      </fill>
      <border>
        <vertical/>
        <horizontal/>
      </border>
    </dxf>
    <dxf>
      <font>
        <color theme="0"/>
      </font>
      <border>
        <left style="thin">
          <color auto="1"/>
        </left>
        <right style="thin">
          <color auto="1"/>
        </right>
        <top style="thin">
          <color auto="1"/>
        </top>
        <bottom style="thin">
          <color auto="1"/>
        </bottom>
        <vertical/>
        <horizontal/>
      </border>
    </dxf>
    <dxf>
      <font>
        <color rgb="FF2B2B62"/>
      </font>
      <fill>
        <patternFill>
          <bgColor rgb="FF2B2B62"/>
        </patternFill>
      </fill>
      <border>
        <vertical/>
        <horizontal/>
      </border>
    </dxf>
    <dxf>
      <font>
        <color rgb="FF2B2B62"/>
      </font>
      <fill>
        <patternFill>
          <bgColor rgb="FF2B2B62"/>
        </patternFill>
      </fill>
      <border>
        <vertical/>
        <horizontal/>
      </border>
    </dxf>
    <dxf>
      <font>
        <color theme="0"/>
      </font>
      <border>
        <left style="thin">
          <color auto="1"/>
        </left>
        <right style="thin">
          <color auto="1"/>
        </right>
        <top style="thin">
          <color auto="1"/>
        </top>
        <bottom style="thin">
          <color auto="1"/>
        </bottom>
        <vertical/>
        <horizontal/>
      </border>
    </dxf>
    <dxf>
      <font>
        <color rgb="FF2B2B62"/>
      </font>
      <fill>
        <patternFill>
          <bgColor rgb="FF2B2B62"/>
        </patternFill>
      </fill>
      <border>
        <vertical/>
        <horizontal/>
      </border>
    </dxf>
    <dxf>
      <font>
        <color theme="0"/>
      </font>
      <border>
        <left style="thin">
          <color auto="1"/>
        </left>
        <right style="thin">
          <color auto="1"/>
        </right>
        <top style="thin">
          <color auto="1"/>
        </top>
        <bottom style="thin">
          <color auto="1"/>
        </bottom>
        <vertical/>
        <horizontal/>
      </border>
    </dxf>
    <dxf>
      <font>
        <color rgb="FF2B2B62"/>
      </font>
      <fill>
        <patternFill>
          <bgColor rgb="FF2B2B62"/>
        </patternFill>
      </fill>
      <border>
        <vertical/>
        <horizontal/>
      </border>
    </dxf>
    <dxf>
      <font>
        <color theme="0"/>
      </font>
      <border>
        <left style="thin">
          <color auto="1"/>
        </left>
        <right style="thin">
          <color auto="1"/>
        </right>
        <top style="thin">
          <color auto="1"/>
        </top>
        <bottom style="thin">
          <color auto="1"/>
        </bottom>
      </border>
    </dxf>
    <dxf>
      <font>
        <color rgb="FF2B2B62"/>
      </font>
    </dxf>
    <dxf>
      <font>
        <color theme="0"/>
      </font>
      <border>
        <left style="thin">
          <color auto="1"/>
        </left>
        <right style="thin">
          <color auto="1"/>
        </right>
        <top style="thin">
          <color auto="1"/>
        </top>
        <bottom style="thin">
          <color auto="1"/>
        </bottom>
      </border>
    </dxf>
    <dxf>
      <font>
        <color rgb="FF2B2B62"/>
      </font>
    </dxf>
    <dxf>
      <font>
        <color theme="0"/>
      </font>
      <border>
        <left style="thin">
          <color auto="1"/>
        </left>
        <right style="thin">
          <color auto="1"/>
        </right>
        <top style="thin">
          <color auto="1"/>
        </top>
        <bottom style="thin">
          <color auto="1"/>
        </bottom>
      </border>
    </dxf>
    <dxf>
      <font>
        <color rgb="FF2B2B62"/>
      </font>
    </dxf>
    <dxf>
      <font>
        <color theme="0"/>
      </font>
      <border>
        <left style="thin">
          <color auto="1"/>
        </left>
        <right style="thin">
          <color auto="1"/>
        </right>
        <top style="thin">
          <color auto="1"/>
        </top>
        <bottom style="thin">
          <color auto="1"/>
        </bottom>
      </border>
    </dxf>
    <dxf>
      <font>
        <color rgb="FF2B2B62"/>
      </font>
    </dxf>
    <dxf>
      <font>
        <color theme="0"/>
      </font>
      <border>
        <left style="thin">
          <color auto="1"/>
        </left>
        <right/>
        <top style="thin">
          <color auto="1"/>
        </top>
        <bottom style="thin">
          <color auto="1"/>
        </bottom>
        <vertical/>
        <horizontal/>
      </border>
    </dxf>
    <dxf>
      <font>
        <color rgb="FF2B2B62"/>
      </font>
      <border>
        <vertical/>
        <horizontal/>
      </border>
    </dxf>
    <dxf>
      <font>
        <color theme="0"/>
      </font>
      <border>
        <left style="thin">
          <color auto="1"/>
        </left>
        <right/>
        <top style="thin">
          <color auto="1"/>
        </top>
        <bottom style="thin">
          <color auto="1"/>
        </bottom>
        <vertical/>
        <horizontal/>
      </border>
    </dxf>
    <dxf>
      <font>
        <color rgb="FF2B2B62"/>
      </font>
      <border>
        <vertical/>
        <horizontal/>
      </border>
    </dxf>
    <dxf>
      <font>
        <color theme="0"/>
      </font>
      <border>
        <left style="thin">
          <color auto="1"/>
        </left>
        <right/>
        <top style="thin">
          <color auto="1"/>
        </top>
        <bottom style="thin">
          <color auto="1"/>
        </bottom>
        <vertical/>
        <horizontal/>
      </border>
    </dxf>
    <dxf>
      <font>
        <color rgb="FF2B2B62"/>
      </font>
      <border>
        <vertical/>
        <horizontal/>
      </border>
    </dxf>
    <dxf>
      <font>
        <color theme="0"/>
      </font>
      <border>
        <left style="thin">
          <color auto="1"/>
        </left>
        <right style="thin">
          <color auto="1"/>
        </right>
        <top style="thin">
          <color auto="1"/>
        </top>
        <bottom style="thin">
          <color auto="1"/>
        </bottom>
        <vertical/>
        <horizontal/>
      </border>
    </dxf>
    <dxf>
      <font>
        <color rgb="FF2B2B62"/>
      </font>
      <fill>
        <patternFill>
          <bgColor rgb="FF2B2B62"/>
        </patternFill>
      </fill>
      <border>
        <vertical/>
        <horizontal/>
      </border>
    </dxf>
    <dxf>
      <font>
        <color theme="0"/>
      </font>
      <border>
        <left style="thin">
          <color auto="1"/>
        </left>
        <right style="thin">
          <color auto="1"/>
        </right>
        <top style="thin">
          <color auto="1"/>
        </top>
        <bottom style="thin">
          <color auto="1"/>
        </bottom>
        <vertical/>
        <horizontal/>
      </border>
    </dxf>
    <dxf>
      <font>
        <color rgb="FF2B2B62"/>
      </font>
      <fill>
        <patternFill>
          <bgColor rgb="FF2B2B62"/>
        </patternFill>
      </fill>
      <border>
        <vertical/>
        <horizontal/>
      </border>
    </dxf>
    <dxf>
      <font>
        <color rgb="FF2B2B62"/>
      </font>
      <fill>
        <patternFill>
          <bgColor rgb="FF2B2B62"/>
        </patternFill>
      </fill>
      <border>
        <vertical/>
        <horizontal/>
      </border>
    </dxf>
    <dxf>
      <font>
        <color theme="0"/>
      </font>
      <border>
        <left style="thin">
          <color auto="1"/>
        </left>
        <right style="thin">
          <color auto="1"/>
        </right>
        <top style="thin">
          <color auto="1"/>
        </top>
        <bottom style="thin">
          <color auto="1"/>
        </bottom>
        <vertical/>
        <horizontal/>
      </border>
    </dxf>
    <dxf>
      <font>
        <color rgb="FF2B2B62"/>
      </font>
      <fill>
        <patternFill>
          <bgColor rgb="FF2B2B62"/>
        </patternFill>
      </fill>
      <border>
        <vertical/>
        <horizontal/>
      </border>
    </dxf>
    <dxf>
      <font>
        <color theme="0"/>
      </font>
      <border>
        <left style="thin">
          <color auto="1"/>
        </left>
        <right/>
        <top style="thin">
          <color auto="1"/>
        </top>
        <bottom style="thin">
          <color auto="1"/>
        </bottom>
        <vertical/>
        <horizontal/>
      </border>
    </dxf>
    <dxf>
      <font>
        <color rgb="FF2B2B62"/>
      </font>
      <border>
        <vertical/>
        <horizontal/>
      </border>
    </dxf>
    <dxf>
      <font>
        <color theme="0"/>
      </font>
      <border>
        <left style="thin">
          <color auto="1"/>
        </left>
        <right style="thin">
          <color auto="1"/>
        </right>
        <top style="thin">
          <color auto="1"/>
        </top>
        <bottom style="thin">
          <color auto="1"/>
        </bottom>
        <vertical/>
        <horizontal/>
      </border>
    </dxf>
    <dxf>
      <font>
        <color rgb="FF2B2B62"/>
      </font>
      <fill>
        <patternFill>
          <bgColor rgb="FF2B2B62"/>
        </patternFill>
      </fill>
      <border>
        <vertical/>
        <horizontal/>
      </border>
    </dxf>
    <dxf>
      <font>
        <color theme="0"/>
      </font>
      <border>
        <left style="thin">
          <color auto="1"/>
        </left>
        <right style="thin">
          <color auto="1"/>
        </right>
        <top style="thin">
          <color auto="1"/>
        </top>
        <bottom style="thin">
          <color auto="1"/>
        </bottom>
      </border>
    </dxf>
    <dxf>
      <font>
        <color rgb="FF2B2B62"/>
      </font>
    </dxf>
    <dxf>
      <font>
        <color theme="0"/>
      </font>
      <border>
        <left style="thin">
          <color auto="1"/>
        </left>
        <right style="thin">
          <color auto="1"/>
        </right>
        <top style="thin">
          <color auto="1"/>
        </top>
        <bottom style="thin">
          <color auto="1"/>
        </bottom>
      </border>
    </dxf>
    <dxf>
      <font>
        <color rgb="FF2B2B62"/>
      </font>
    </dxf>
    <dxf>
      <font>
        <color theme="0"/>
      </font>
      <border>
        <left style="thin">
          <color auto="1"/>
        </left>
        <right style="thin">
          <color auto="1"/>
        </right>
        <top style="thin">
          <color auto="1"/>
        </top>
        <bottom style="thin">
          <color auto="1"/>
        </bottom>
      </border>
    </dxf>
    <dxf>
      <font>
        <color rgb="FF2B2B62"/>
      </font>
    </dxf>
    <dxf>
      <font>
        <color theme="0"/>
      </font>
      <border>
        <left style="thin">
          <color auto="1"/>
        </left>
        <right style="thin">
          <color auto="1"/>
        </right>
        <top style="thin">
          <color auto="1"/>
        </top>
        <bottom style="thin">
          <color auto="1"/>
        </bottom>
      </border>
    </dxf>
    <dxf>
      <font>
        <color rgb="FF2B2B62"/>
      </font>
    </dxf>
    <dxf>
      <font>
        <color rgb="FF2B2B62"/>
      </font>
      <fill>
        <patternFill>
          <bgColor rgb="FF2B2B62"/>
        </patternFill>
      </fill>
    </dxf>
    <dxf>
      <font>
        <color rgb="FF2B2B62"/>
      </font>
      <fill>
        <patternFill>
          <bgColor rgb="FF2B2B62"/>
        </patternFill>
      </fill>
    </dxf>
    <dxf>
      <font>
        <color rgb="FF2B2B62"/>
      </font>
      <fill>
        <patternFill>
          <bgColor rgb="FF2B2B62"/>
        </patternFill>
      </fill>
      <border>
        <left/>
        <right/>
        <top/>
        <bottom/>
      </border>
    </dxf>
    <dxf>
      <font>
        <color rgb="FF2B2B62"/>
      </font>
      <fill>
        <patternFill>
          <bgColor rgb="FF2B2B62"/>
        </patternFill>
      </fill>
      <border>
        <left/>
        <right/>
        <top/>
        <bottom/>
      </border>
    </dxf>
  </dxfs>
  <tableStyles count="0" defaultTableStyle="TableStyleMedium2" defaultPivotStyle="PivotStyleLight16"/>
  <colors>
    <mruColors>
      <color rgb="FF2B2B62"/>
      <color rgb="FF17A2DB"/>
      <color rgb="FF00B050"/>
      <color rgb="FFFF99CC"/>
      <color rgb="FFFFFFFF"/>
      <color rgb="FF2B3366"/>
      <color rgb="FFF53333"/>
      <color rgb="FF7030A0"/>
      <color rgb="FF0077D2"/>
      <color rgb="FFFFFF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 Id="rId30" Type="http://schemas.microsoft.com/office/2006/relationships/vbaProject" Target="vbaProject.bin"/></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500" b="1" i="0" u="none" strike="noStrike" kern="1200" cap="none" spc="0" normalizeH="0" baseline="0">
                <a:solidFill>
                  <a:schemeClr val="bg1"/>
                </a:solidFill>
                <a:latin typeface="PT Sans Narrow" panose="020B0506020203020204" pitchFamily="34" charset="0"/>
                <a:ea typeface="+mj-ea"/>
                <a:cs typeface="+mj-cs"/>
              </a:defRPr>
            </a:pPr>
            <a:r>
              <a:rPr lang="en-US" sz="2500" baseline="0">
                <a:solidFill>
                  <a:schemeClr val="bg1"/>
                </a:solidFill>
                <a:latin typeface="PT Sans Narrow" panose="020B0506020203020204" pitchFamily="34" charset="0"/>
              </a:rPr>
              <a:t>Hidrograma</a:t>
            </a:r>
          </a:p>
        </c:rich>
      </c:tx>
      <c:layout>
        <c:manualLayout>
          <c:xMode val="edge"/>
          <c:yMode val="edge"/>
          <c:x val="0.40750052729406733"/>
          <c:y val="3.7037082690307026E-2"/>
        </c:manualLayout>
      </c:layout>
      <c:overlay val="0"/>
      <c:spPr>
        <a:noFill/>
        <a:ln>
          <a:noFill/>
        </a:ln>
        <a:effectLst/>
      </c:spPr>
      <c:txPr>
        <a:bodyPr rot="0" spcFirstLastPara="1" vertOverflow="ellipsis" vert="horz" wrap="square" anchor="ctr" anchorCtr="1"/>
        <a:lstStyle/>
        <a:p>
          <a:pPr>
            <a:defRPr sz="2500" b="1" i="0" u="none" strike="noStrike" kern="1200" cap="none" spc="0" normalizeH="0" baseline="0">
              <a:solidFill>
                <a:schemeClr val="bg1"/>
              </a:solidFill>
              <a:latin typeface="PT Sans Narrow" panose="020B0506020203020204" pitchFamily="34" charset="0"/>
              <a:ea typeface="+mj-ea"/>
              <a:cs typeface="+mj-cs"/>
            </a:defRPr>
          </a:pPr>
          <a:endParaRPr lang="es-CO"/>
        </a:p>
      </c:txPr>
    </c:title>
    <c:autoTitleDeleted val="0"/>
    <c:plotArea>
      <c:layout/>
      <c:scatterChart>
        <c:scatterStyle val="smoothMarker"/>
        <c:varyColors val="0"/>
        <c:ser>
          <c:idx val="1"/>
          <c:order val="1"/>
          <c:tx>
            <c:v>Qdescarga</c:v>
          </c:tx>
          <c:spPr>
            <a:ln w="19050" cap="rnd">
              <a:solidFill>
                <a:srgbClr val="FF0000"/>
              </a:solidFill>
              <a:round/>
            </a:ln>
            <a:effectLst/>
          </c:spPr>
          <c:marker>
            <c:symbol val="none"/>
          </c:marker>
          <c:xVal>
            <c:numRef>
              <c:f>DIMENSIONAMIENTO!$J$20:$J$52</c:f>
              <c:numCache>
                <c:formatCode>General</c:formatCode>
                <c:ptCount val="33"/>
                <c:pt idx="0">
                  <c:v>0</c:v>
                </c:pt>
                <c:pt idx="1">
                  <c:v>3.6</c:v>
                </c:pt>
                <c:pt idx="2">
                  <c:v>7.2</c:v>
                </c:pt>
                <c:pt idx="3">
                  <c:v>10.799999999999999</c:v>
                </c:pt>
                <c:pt idx="4">
                  <c:v>14.4</c:v>
                </c:pt>
                <c:pt idx="5">
                  <c:v>18</c:v>
                </c:pt>
                <c:pt idx="6">
                  <c:v>21.599999999999998</c:v>
                </c:pt>
                <c:pt idx="7">
                  <c:v>25.2</c:v>
                </c:pt>
                <c:pt idx="8">
                  <c:v>28.8</c:v>
                </c:pt>
                <c:pt idx="9">
                  <c:v>32.4</c:v>
                </c:pt>
                <c:pt idx="10">
                  <c:v>36</c:v>
                </c:pt>
                <c:pt idx="11">
                  <c:v>39.6</c:v>
                </c:pt>
                <c:pt idx="12">
                  <c:v>43.199999999999996</c:v>
                </c:pt>
                <c:pt idx="13">
                  <c:v>46.800000000000004</c:v>
                </c:pt>
                <c:pt idx="14">
                  <c:v>50.4</c:v>
                </c:pt>
                <c:pt idx="15">
                  <c:v>54</c:v>
                </c:pt>
                <c:pt idx="16">
                  <c:v>57.6</c:v>
                </c:pt>
                <c:pt idx="17">
                  <c:v>61.199999999999996</c:v>
                </c:pt>
                <c:pt idx="18">
                  <c:v>64.8</c:v>
                </c:pt>
                <c:pt idx="19">
                  <c:v>68.399999999999991</c:v>
                </c:pt>
                <c:pt idx="20">
                  <c:v>72</c:v>
                </c:pt>
                <c:pt idx="21">
                  <c:v>79.2</c:v>
                </c:pt>
                <c:pt idx="22">
                  <c:v>86.399999999999991</c:v>
                </c:pt>
                <c:pt idx="23">
                  <c:v>93.600000000000009</c:v>
                </c:pt>
                <c:pt idx="24">
                  <c:v>100.8</c:v>
                </c:pt>
                <c:pt idx="25">
                  <c:v>108</c:v>
                </c:pt>
                <c:pt idx="26">
                  <c:v>115.2</c:v>
                </c:pt>
                <c:pt idx="27">
                  <c:v>122.39999999999999</c:v>
                </c:pt>
                <c:pt idx="28">
                  <c:v>129.6</c:v>
                </c:pt>
                <c:pt idx="29">
                  <c:v>136.79999999999998</c:v>
                </c:pt>
                <c:pt idx="30">
                  <c:v>144</c:v>
                </c:pt>
                <c:pt idx="31">
                  <c:v>162</c:v>
                </c:pt>
                <c:pt idx="32">
                  <c:v>180</c:v>
                </c:pt>
              </c:numCache>
            </c:numRef>
          </c:xVal>
          <c:yVal>
            <c:numRef>
              <c:f>DIMENSIONAMIENTO!$M$20:$M$52</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yVal>
          <c:smooth val="1"/>
          <c:extLst>
            <c:ext xmlns:c16="http://schemas.microsoft.com/office/drawing/2014/chart" uri="{C3380CC4-5D6E-409C-BE32-E72D297353CC}">
              <c16:uniqueId val="{00000001-C20A-4C6D-AF76-AB5BEAA9A2B3}"/>
            </c:ext>
          </c:extLst>
        </c:ser>
        <c:ser>
          <c:idx val="0"/>
          <c:order val="0"/>
          <c:tx>
            <c:v>Qlluvia</c:v>
          </c:tx>
          <c:spPr>
            <a:ln w="22225" cap="rnd">
              <a:solidFill>
                <a:srgbClr val="00B050"/>
              </a:solidFill>
              <a:round/>
            </a:ln>
            <a:effectLst/>
          </c:spPr>
          <c:marker>
            <c:symbol val="none"/>
          </c:marker>
          <c:xVal>
            <c:numRef>
              <c:f>DIMENSIONAMIENTO!$J$20:$J$52</c:f>
              <c:numCache>
                <c:formatCode>General</c:formatCode>
                <c:ptCount val="33"/>
                <c:pt idx="0">
                  <c:v>0</c:v>
                </c:pt>
                <c:pt idx="1">
                  <c:v>3.6</c:v>
                </c:pt>
                <c:pt idx="2">
                  <c:v>7.2</c:v>
                </c:pt>
                <c:pt idx="3">
                  <c:v>10.799999999999999</c:v>
                </c:pt>
                <c:pt idx="4">
                  <c:v>14.4</c:v>
                </c:pt>
                <c:pt idx="5">
                  <c:v>18</c:v>
                </c:pt>
                <c:pt idx="6">
                  <c:v>21.599999999999998</c:v>
                </c:pt>
                <c:pt idx="7">
                  <c:v>25.2</c:v>
                </c:pt>
                <c:pt idx="8">
                  <c:v>28.8</c:v>
                </c:pt>
                <c:pt idx="9">
                  <c:v>32.4</c:v>
                </c:pt>
                <c:pt idx="10">
                  <c:v>36</c:v>
                </c:pt>
                <c:pt idx="11">
                  <c:v>39.6</c:v>
                </c:pt>
                <c:pt idx="12">
                  <c:v>43.199999999999996</c:v>
                </c:pt>
                <c:pt idx="13">
                  <c:v>46.800000000000004</c:v>
                </c:pt>
                <c:pt idx="14">
                  <c:v>50.4</c:v>
                </c:pt>
                <c:pt idx="15">
                  <c:v>54</c:v>
                </c:pt>
                <c:pt idx="16">
                  <c:v>57.6</c:v>
                </c:pt>
                <c:pt idx="17">
                  <c:v>61.199999999999996</c:v>
                </c:pt>
                <c:pt idx="18">
                  <c:v>64.8</c:v>
                </c:pt>
                <c:pt idx="19">
                  <c:v>68.399999999999991</c:v>
                </c:pt>
                <c:pt idx="20">
                  <c:v>72</c:v>
                </c:pt>
                <c:pt idx="21">
                  <c:v>79.2</c:v>
                </c:pt>
                <c:pt idx="22">
                  <c:v>86.399999999999991</c:v>
                </c:pt>
                <c:pt idx="23">
                  <c:v>93.600000000000009</c:v>
                </c:pt>
                <c:pt idx="24">
                  <c:v>100.8</c:v>
                </c:pt>
                <c:pt idx="25">
                  <c:v>108</c:v>
                </c:pt>
                <c:pt idx="26">
                  <c:v>115.2</c:v>
                </c:pt>
                <c:pt idx="27">
                  <c:v>122.39999999999999</c:v>
                </c:pt>
                <c:pt idx="28">
                  <c:v>129.6</c:v>
                </c:pt>
                <c:pt idx="29">
                  <c:v>136.79999999999998</c:v>
                </c:pt>
                <c:pt idx="30">
                  <c:v>144</c:v>
                </c:pt>
                <c:pt idx="31">
                  <c:v>162</c:v>
                </c:pt>
                <c:pt idx="32">
                  <c:v>180</c:v>
                </c:pt>
              </c:numCache>
            </c:numRef>
          </c:xVal>
          <c:yVal>
            <c:numRef>
              <c:f>DIMENSIONAMIENTO!$K$20:$K$52</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yVal>
          <c:smooth val="1"/>
          <c:extLst>
            <c:ext xmlns:c16="http://schemas.microsoft.com/office/drawing/2014/chart" uri="{C3380CC4-5D6E-409C-BE32-E72D297353CC}">
              <c16:uniqueId val="{00000000-C20A-4C6D-AF76-AB5BEAA9A2B3}"/>
            </c:ext>
          </c:extLst>
        </c:ser>
        <c:dLbls>
          <c:showLegendKey val="0"/>
          <c:showVal val="0"/>
          <c:showCatName val="0"/>
          <c:showSerName val="0"/>
          <c:showPercent val="0"/>
          <c:showBubbleSize val="0"/>
        </c:dLbls>
        <c:axId val="80196672"/>
        <c:axId val="80197248"/>
      </c:scatterChart>
      <c:valAx>
        <c:axId val="80196672"/>
        <c:scaling>
          <c:orientation val="minMax"/>
          <c:max val="180"/>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1600" b="1" i="0" u="none" strike="noStrike" kern="1200" baseline="0">
                    <a:solidFill>
                      <a:schemeClr val="bg1"/>
                    </a:solidFill>
                    <a:latin typeface="PT Sans Narrow" panose="020B0506020203020204" pitchFamily="34" charset="0"/>
                    <a:ea typeface="+mn-ea"/>
                    <a:cs typeface="+mn-cs"/>
                  </a:defRPr>
                </a:pPr>
                <a:r>
                  <a:rPr lang="en-US" sz="1600" baseline="0">
                    <a:solidFill>
                      <a:schemeClr val="bg1"/>
                    </a:solidFill>
                    <a:latin typeface="PT Sans Narrow" panose="020B0506020203020204" pitchFamily="34" charset="0"/>
                  </a:rPr>
                  <a:t>T (min)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PT Sans Narrow" panose="020B0506020203020204" pitchFamily="34" charset="0"/>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PT Sans Narrow" panose="020B0506020203020204" pitchFamily="34" charset="0"/>
                <a:ea typeface="+mn-ea"/>
                <a:cs typeface="+mn-cs"/>
              </a:defRPr>
            </a:pPr>
            <a:endParaRPr lang="es-CO"/>
          </a:p>
        </c:txPr>
        <c:crossAx val="80197248"/>
        <c:crossesAt val="0"/>
        <c:crossBetween val="midCat"/>
      </c:valAx>
      <c:valAx>
        <c:axId val="80197248"/>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bg1"/>
                    </a:solidFill>
                    <a:latin typeface="PT Sans Narrow" panose="020B0506020203020204" pitchFamily="34" charset="0"/>
                    <a:ea typeface="+mn-ea"/>
                    <a:cs typeface="+mn-cs"/>
                  </a:defRPr>
                </a:pPr>
                <a:r>
                  <a:rPr lang="es-CO" sz="1600" baseline="0">
                    <a:solidFill>
                      <a:schemeClr val="bg1"/>
                    </a:solidFill>
                    <a:latin typeface="PT Sans Narrow" panose="020B0506020203020204" pitchFamily="34" charset="0"/>
                  </a:rPr>
                  <a:t>Q (Lps)</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bg1"/>
                  </a:solidFill>
                  <a:latin typeface="PT Sans Narrow" panose="020B0506020203020204" pitchFamily="34" charset="0"/>
                  <a:ea typeface="+mn-ea"/>
                  <a:cs typeface="+mn-cs"/>
                </a:defRPr>
              </a:pPr>
              <a:endParaRPr lang="es-CO"/>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bg1"/>
                </a:solidFill>
                <a:latin typeface="PT Sans Narrow" panose="020B0506020203020204" pitchFamily="34" charset="0"/>
                <a:ea typeface="+mn-ea"/>
                <a:cs typeface="+mn-cs"/>
              </a:defRPr>
            </a:pPr>
            <a:endParaRPr lang="es-CO"/>
          </a:p>
        </c:txPr>
        <c:crossAx val="80196672"/>
        <c:crosses val="autoZero"/>
        <c:crossBetween val="midCat"/>
      </c:valAx>
      <c:spPr>
        <a:pattFill prst="ltDnDiag">
          <a:fgClr>
            <a:schemeClr val="dk1">
              <a:lumMod val="15000"/>
              <a:lumOff val="85000"/>
            </a:schemeClr>
          </a:fgClr>
          <a:bgClr>
            <a:schemeClr val="lt1"/>
          </a:bgClr>
        </a:pattFill>
        <a:ln>
          <a:noFill/>
        </a:ln>
        <a:effectLst/>
      </c:spPr>
    </c:plotArea>
    <c:legend>
      <c:legendPos val="t"/>
      <c:overlay val="0"/>
      <c:spPr>
        <a:noFill/>
        <a:ln>
          <a:noFill/>
        </a:ln>
        <a:effectLst/>
      </c:spPr>
      <c:txPr>
        <a:bodyPr rot="0" spcFirstLastPara="1" vertOverflow="ellipsis" vert="horz" wrap="square" anchor="ctr" anchorCtr="1"/>
        <a:lstStyle/>
        <a:p>
          <a:pPr>
            <a:defRPr sz="1300" b="0" i="0" u="none" strike="noStrike" kern="1200" baseline="0">
              <a:solidFill>
                <a:schemeClr val="bg1"/>
              </a:solidFill>
              <a:latin typeface="PT Sans Narrow" panose="020B0506020203020204" pitchFamily="34" charset="0"/>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trlProps/ctrlProp1.xml><?xml version="1.0" encoding="utf-8"?>
<formControlPr xmlns="http://schemas.microsoft.com/office/spreadsheetml/2009/9/main" objectType="CheckBox" fmlaLink="CALCULOS!$B$21" lockText="1" noThreeD="1"/>
</file>

<file path=xl/ctrlProps/ctrlProp2.xml><?xml version="1.0" encoding="utf-8"?>
<formControlPr xmlns="http://schemas.microsoft.com/office/spreadsheetml/2009/9/main" objectType="CheckBox" fmlaLink="CALCULOS!$B$22" lockText="1" noThreeD="1"/>
</file>

<file path=xl/drawings/_rels/drawing1.xml.rels><?xml version="1.0" encoding="UTF-8" standalone="yes"?>
<Relationships xmlns="http://schemas.openxmlformats.org/package/2006/relationships"><Relationship Id="rId8" Type="http://schemas.openxmlformats.org/officeDocument/2006/relationships/hyperlink" Target="https://www.youtube.com/user/PavcoSA" TargetMode="External"/><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www.facebook.com/PavcoWavin.co?fref=ts" TargetMode="External"/><Relationship Id="rId11" Type="http://schemas.openxmlformats.org/officeDocument/2006/relationships/image" Target="../media/image8.png"/><Relationship Id="rId5" Type="http://schemas.openxmlformats.org/officeDocument/2006/relationships/image" Target="../media/image4.png"/><Relationship Id="rId10" Type="http://schemas.openxmlformats.org/officeDocument/2006/relationships/image" Target="../media/image7.png"/><Relationship Id="rId4" Type="http://schemas.openxmlformats.org/officeDocument/2006/relationships/hyperlink" Target="https://www.linkedin.com/company/pavco-colombia/" TargetMode="External"/><Relationship Id="rId9" Type="http://schemas.openxmlformats.org/officeDocument/2006/relationships/image" Target="../media/image6.png"/></Relationships>
</file>

<file path=xl/drawings/_rels/drawing10.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https://www.linkedin.com/company/pavco-colombia/" TargetMode="External"/><Relationship Id="rId7" Type="http://schemas.openxmlformats.org/officeDocument/2006/relationships/hyperlink" Target="https://www.facebook.com/PavcoWavin.co?fref=ts"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hyperlink" Target="https://www.youtube.com/user/PavcoSA" TargetMode="External"/><Relationship Id="rId10"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22.png"/><Relationship Id="rId7" Type="http://schemas.openxmlformats.org/officeDocument/2006/relationships/image" Target="../media/image1.png"/><Relationship Id="rId2" Type="http://schemas.openxmlformats.org/officeDocument/2006/relationships/image" Target="../media/image21.png"/><Relationship Id="rId1" Type="http://schemas.openxmlformats.org/officeDocument/2006/relationships/image" Target="../media/image20.png"/><Relationship Id="rId6" Type="http://schemas.microsoft.com/office/2007/relationships/hdphoto" Target="../media/hdphoto1.wdp"/><Relationship Id="rId5" Type="http://schemas.openxmlformats.org/officeDocument/2006/relationships/image" Target="../media/image23.png"/><Relationship Id="rId4" Type="http://schemas.microsoft.com/office/2007/relationships/hdphoto" Target="../media/hdphoto2.wdp"/><Relationship Id="rId9"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5.png"/><Relationship Id="rId3" Type="http://schemas.microsoft.com/office/2007/relationships/hdphoto" Target="../media/hdphoto2.wdp"/><Relationship Id="rId7" Type="http://schemas.openxmlformats.org/officeDocument/2006/relationships/image" Target="../media/image15.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23.png"/><Relationship Id="rId9" Type="http://schemas.openxmlformats.org/officeDocument/2006/relationships/image" Target="../media/image26.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png"/><Relationship Id="rId13" Type="http://schemas.microsoft.com/office/2007/relationships/hdphoto" Target="../media/hdphoto4.wdp"/><Relationship Id="rId3" Type="http://schemas.openxmlformats.org/officeDocument/2006/relationships/image" Target="../media/image4.png"/><Relationship Id="rId7" Type="http://schemas.openxmlformats.org/officeDocument/2006/relationships/image" Target="../media/image6.png"/><Relationship Id="rId12" Type="http://schemas.openxmlformats.org/officeDocument/2006/relationships/image" Target="../media/image28.png"/><Relationship Id="rId2" Type="http://schemas.openxmlformats.org/officeDocument/2006/relationships/hyperlink" Target="https://www.linkedin.com/company/pavco-colombia/" TargetMode="External"/><Relationship Id="rId1" Type="http://schemas.openxmlformats.org/officeDocument/2006/relationships/image" Target="../media/image2.png"/><Relationship Id="rId6" Type="http://schemas.openxmlformats.org/officeDocument/2006/relationships/hyperlink" Target="https://www.youtube.com/user/PavcoSA" TargetMode="External"/><Relationship Id="rId11" Type="http://schemas.microsoft.com/office/2007/relationships/hdphoto" Target="../media/hdphoto3.wdp"/><Relationship Id="rId5" Type="http://schemas.openxmlformats.org/officeDocument/2006/relationships/image" Target="../media/image5.png"/><Relationship Id="rId10" Type="http://schemas.openxmlformats.org/officeDocument/2006/relationships/image" Target="../media/image27.png"/><Relationship Id="rId4" Type="http://schemas.openxmlformats.org/officeDocument/2006/relationships/hyperlink" Target="https://www.facebook.com/PavcoWavin.co?fref=ts" TargetMode="External"/><Relationship Id="rId9"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8" Type="http://schemas.openxmlformats.org/officeDocument/2006/relationships/hyperlink" Target="https://www.facebook.com/PavcoWavin.co?fref=ts" TargetMode="External"/><Relationship Id="rId3" Type="http://schemas.openxmlformats.org/officeDocument/2006/relationships/image" Target="../media/image15.png"/><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hyperlink" Target="https://www.linkedin.com/company/pavco-colombia/" TargetMode="External"/><Relationship Id="rId11" Type="http://schemas.openxmlformats.org/officeDocument/2006/relationships/image" Target="../media/image6.png"/><Relationship Id="rId5" Type="http://schemas.openxmlformats.org/officeDocument/2006/relationships/hyperlink" Target="https://ciria.sharefile.com/share/view/466d0afe0414422c" TargetMode="External"/><Relationship Id="rId10" Type="http://schemas.openxmlformats.org/officeDocument/2006/relationships/hyperlink" Target="https://www.youtube.com/user/PavcoSA" TargetMode="External"/><Relationship Id="rId4" Type="http://schemas.openxmlformats.org/officeDocument/2006/relationships/hyperlink" Target="https://directives.sc.egov.usda.gov/OpenNonWebContent.aspx?content=17755.wba" TargetMode="External"/><Relationship Id="rId9"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https://www.youtube.com/user/PavcoSA" TargetMode="External"/><Relationship Id="rId18" Type="http://schemas.openxmlformats.org/officeDocument/2006/relationships/hyperlink" Target="https://pavcowavin.com.co/download/305" TargetMode="External"/><Relationship Id="rId3" Type="http://schemas.openxmlformats.org/officeDocument/2006/relationships/image" Target="../media/image10.png"/><Relationship Id="rId7" Type="http://schemas.openxmlformats.org/officeDocument/2006/relationships/image" Target="../media/image11.png"/><Relationship Id="rId12" Type="http://schemas.openxmlformats.org/officeDocument/2006/relationships/image" Target="../media/image5.png"/><Relationship Id="rId17" Type="http://schemas.openxmlformats.org/officeDocument/2006/relationships/image" Target="../media/image3.png"/><Relationship Id="rId2" Type="http://schemas.microsoft.com/office/2007/relationships/hdphoto" Target="../media/hdphoto1.wdp"/><Relationship Id="rId16" Type="http://schemas.openxmlformats.org/officeDocument/2006/relationships/image" Target="../media/image12.png"/><Relationship Id="rId1" Type="http://schemas.openxmlformats.org/officeDocument/2006/relationships/image" Target="../media/image9.png"/><Relationship Id="rId6" Type="http://schemas.openxmlformats.org/officeDocument/2006/relationships/hyperlink" Target="https://pavcowavin.com.co/manejo-de-aguas-lluvia-sistema-aquacell" TargetMode="External"/><Relationship Id="rId11" Type="http://schemas.openxmlformats.org/officeDocument/2006/relationships/hyperlink" Target="https://www.facebook.com/PavcoWavin.co?fref=ts" TargetMode="External"/><Relationship Id="rId5" Type="http://schemas.openxmlformats.org/officeDocument/2006/relationships/image" Target="../media/image2.png"/><Relationship Id="rId15" Type="http://schemas.openxmlformats.org/officeDocument/2006/relationships/hyperlink" Target="https://pavcowavin.com.co/download/23" TargetMode="External"/><Relationship Id="rId10" Type="http://schemas.openxmlformats.org/officeDocument/2006/relationships/image" Target="../media/image4.png"/><Relationship Id="rId4" Type="http://schemas.openxmlformats.org/officeDocument/2006/relationships/image" Target="../media/image1.png"/><Relationship Id="rId9" Type="http://schemas.openxmlformats.org/officeDocument/2006/relationships/hyperlink" Target="https://www.linkedin.com/company/pavco-colombia/" TargetMode="External"/><Relationship Id="rId1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13.png"/><Relationship Id="rId7" Type="http://schemas.openxmlformats.org/officeDocument/2006/relationships/hyperlink" Target="https://www.facebook.com/PavcoWavin.co?fref=ts"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https://www.linkedin.com/company/pavco-colombia/" TargetMode="External"/><Relationship Id="rId10" Type="http://schemas.openxmlformats.org/officeDocument/2006/relationships/image" Target="../media/image6.png"/><Relationship Id="rId4" Type="http://schemas.openxmlformats.org/officeDocument/2006/relationships/image" Target="../media/image14.png"/><Relationship Id="rId9" Type="http://schemas.openxmlformats.org/officeDocument/2006/relationships/hyperlink" Target="https://www.youtube.com/user/PavcoSA"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https://www.youtube.com/user/PavcoSA" TargetMode="External"/><Relationship Id="rId3" Type="http://schemas.openxmlformats.org/officeDocument/2006/relationships/image" Target="../media/image13.png"/><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www.facebook.com/PavcoWavin.co?fref=ts" TargetMode="External"/><Relationship Id="rId5" Type="http://schemas.openxmlformats.org/officeDocument/2006/relationships/image" Target="../media/image4.png"/><Relationship Id="rId4" Type="http://schemas.openxmlformats.org/officeDocument/2006/relationships/hyperlink" Target="https://www.linkedin.com/company/pavco-colombia/" TargetMode="External"/><Relationship Id="rId9"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https://www.linkedin.com/company/pavco-colombia/" TargetMode="External"/><Relationship Id="rId7" Type="http://schemas.openxmlformats.org/officeDocument/2006/relationships/hyperlink" Target="https://www.facebook.com/PavcoWavin.co?fref=ts"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hyperlink" Target="https://www.youtube.com/user/PavcoSA" TargetMode="External"/><Relationship Id="rId10" Type="http://schemas.openxmlformats.org/officeDocument/2006/relationships/image" Target="../media/image15.png"/><Relationship Id="rId4" Type="http://schemas.openxmlformats.org/officeDocument/2006/relationships/image" Target="../media/image4.png"/><Relationship Id="rId9" Type="http://schemas.openxmlformats.org/officeDocument/2006/relationships/chart" Target="../charts/chart1.xml"/></Relationships>
</file>

<file path=xl/drawings/_rels/drawing6.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4.png"/><Relationship Id="rId7" Type="http://schemas.openxmlformats.org/officeDocument/2006/relationships/hyperlink" Target="https://www.youtube.com/user/PavcoSA" TargetMode="External"/><Relationship Id="rId2" Type="http://schemas.openxmlformats.org/officeDocument/2006/relationships/hyperlink" Target="https://www.linkedin.com/company/pavco-colombia/" TargetMode="External"/><Relationship Id="rId1" Type="http://schemas.openxmlformats.org/officeDocument/2006/relationships/image" Target="../media/image2.png"/><Relationship Id="rId6" Type="http://schemas.openxmlformats.org/officeDocument/2006/relationships/image" Target="../media/image15.png"/><Relationship Id="rId5" Type="http://schemas.openxmlformats.org/officeDocument/2006/relationships/image" Target="../media/image5.png"/><Relationship Id="rId4" Type="http://schemas.openxmlformats.org/officeDocument/2006/relationships/hyperlink" Target="https://www.facebook.com/PavcoWavin.co?fref=ts" TargetMode="External"/><Relationship Id="rId9"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https://www.linkedin.com/company/pavco-colombia/" TargetMode="External"/><Relationship Id="rId7" Type="http://schemas.openxmlformats.org/officeDocument/2006/relationships/hyperlink" Target="https://www.facebook.com/PavcoWavin.co?fref=ts"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hyperlink" Target="https://www.youtube.com/user/PavcoSA" TargetMode="External"/><Relationship Id="rId4" Type="http://schemas.openxmlformats.org/officeDocument/2006/relationships/image" Target="../media/image4.png"/><Relationship Id="rId9" Type="http://schemas.openxmlformats.org/officeDocument/2006/relationships/image" Target="../media/image15.png"/></Relationships>
</file>

<file path=xl/drawings/_rels/drawing8.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4.png"/><Relationship Id="rId7" Type="http://schemas.openxmlformats.org/officeDocument/2006/relationships/image" Target="../media/image5.png"/><Relationship Id="rId2" Type="http://schemas.openxmlformats.org/officeDocument/2006/relationships/hyperlink" Target="https://www.linkedin.com/company/pavco-colombia/" TargetMode="External"/><Relationship Id="rId1" Type="http://schemas.openxmlformats.org/officeDocument/2006/relationships/image" Target="../media/image2.png"/><Relationship Id="rId6" Type="http://schemas.openxmlformats.org/officeDocument/2006/relationships/hyperlink" Target="https://www.facebook.com/PavcoWavin.co?fref=ts" TargetMode="External"/><Relationship Id="rId11" Type="http://schemas.openxmlformats.org/officeDocument/2006/relationships/image" Target="../media/image1.png"/><Relationship Id="rId5" Type="http://schemas.openxmlformats.org/officeDocument/2006/relationships/image" Target="../media/image6.png"/><Relationship Id="rId10" Type="http://schemas.openxmlformats.org/officeDocument/2006/relationships/image" Target="../media/image15.png"/><Relationship Id="rId4" Type="http://schemas.openxmlformats.org/officeDocument/2006/relationships/hyperlink" Target="https://www.youtube.com/user/PavcoSA" TargetMode="External"/><Relationship Id="rId9" Type="http://schemas.openxmlformats.org/officeDocument/2006/relationships/image" Target="../media/image17.png"/></Relationships>
</file>

<file path=xl/drawings/_rels/drawing9.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https://www.linkedin.com/company/pavco-colombia/" TargetMode="External"/><Relationship Id="rId7" Type="http://schemas.openxmlformats.org/officeDocument/2006/relationships/hyperlink" Target="https://www.facebook.com/PavcoWavin.co?fref=ts"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hyperlink" Target="https://www.youtube.com/user/PavcoSA" TargetMode="External"/><Relationship Id="rId10" Type="http://schemas.openxmlformats.org/officeDocument/2006/relationships/image" Target="../media/image18.png"/><Relationship Id="rId4" Type="http://schemas.openxmlformats.org/officeDocument/2006/relationships/image" Target="../media/image4.png"/><Relationship Id="rId9"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4</xdr:col>
      <xdr:colOff>739589</xdr:colOff>
      <xdr:row>0</xdr:row>
      <xdr:rowOff>18911</xdr:rowOff>
    </xdr:from>
    <xdr:to>
      <xdr:col>14</xdr:col>
      <xdr:colOff>10583</xdr:colOff>
      <xdr:row>53</xdr:row>
      <xdr:rowOff>130970</xdr:rowOff>
    </xdr:to>
    <xdr:sp macro="" textlink="">
      <xdr:nvSpPr>
        <xdr:cNvPr id="2" name="Rectángulo: esquinas redondeadas 1">
          <a:extLst>
            <a:ext uri="{FF2B5EF4-FFF2-40B4-BE49-F238E27FC236}">
              <a16:creationId xmlns:a16="http://schemas.microsoft.com/office/drawing/2014/main" id="{00000000-0008-0000-0000-000002000000}"/>
            </a:ext>
          </a:extLst>
        </xdr:cNvPr>
        <xdr:cNvSpPr/>
      </xdr:nvSpPr>
      <xdr:spPr>
        <a:xfrm>
          <a:off x="3787589" y="18911"/>
          <a:ext cx="6890994" cy="10208559"/>
        </a:xfrm>
        <a:prstGeom prst="roundRect">
          <a:avLst>
            <a:gd name="adj" fmla="val 4205"/>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734918</xdr:colOff>
      <xdr:row>0</xdr:row>
      <xdr:rowOff>19609</xdr:rowOff>
    </xdr:from>
    <xdr:to>
      <xdr:col>8</xdr:col>
      <xdr:colOff>392206</xdr:colOff>
      <xdr:row>3</xdr:row>
      <xdr:rowOff>142874</xdr:rowOff>
    </xdr:to>
    <xdr:sp macro="" textlink="">
      <xdr:nvSpPr>
        <xdr:cNvPr id="5" name="Marcador de texto 2">
          <a:extLst>
            <a:ext uri="{FF2B5EF4-FFF2-40B4-BE49-F238E27FC236}">
              <a16:creationId xmlns:a16="http://schemas.microsoft.com/office/drawing/2014/main" id="{00000000-0008-0000-0000-000005000000}"/>
            </a:ext>
          </a:extLst>
        </xdr:cNvPr>
        <xdr:cNvSpPr>
          <a:spLocks noGrp="1"/>
        </xdr:cNvSpPr>
      </xdr:nvSpPr>
      <xdr:spPr>
        <a:xfrm flipH="1">
          <a:off x="3782918" y="19609"/>
          <a:ext cx="2705288"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8</xdr:col>
      <xdr:colOff>380999</xdr:colOff>
      <xdr:row>0</xdr:row>
      <xdr:rowOff>19609</xdr:rowOff>
    </xdr:from>
    <xdr:to>
      <xdr:col>11</xdr:col>
      <xdr:colOff>571500</xdr:colOff>
      <xdr:row>3</xdr:row>
      <xdr:rowOff>142874</xdr:rowOff>
    </xdr:to>
    <xdr:sp macro="" textlink="">
      <xdr:nvSpPr>
        <xdr:cNvPr id="6" name="Marcador de texto 2">
          <a:extLst>
            <a:ext uri="{FF2B5EF4-FFF2-40B4-BE49-F238E27FC236}">
              <a16:creationId xmlns:a16="http://schemas.microsoft.com/office/drawing/2014/main" id="{00000000-0008-0000-0000-000006000000}"/>
            </a:ext>
          </a:extLst>
        </xdr:cNvPr>
        <xdr:cNvSpPr>
          <a:spLocks noGrp="1"/>
        </xdr:cNvSpPr>
      </xdr:nvSpPr>
      <xdr:spPr>
        <a:xfrm flipV="1">
          <a:off x="6476999" y="19609"/>
          <a:ext cx="2476501"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oneCell">
    <xdr:from>
      <xdr:col>15</xdr:col>
      <xdr:colOff>681067</xdr:colOff>
      <xdr:row>49</xdr:row>
      <xdr:rowOff>83346</xdr:rowOff>
    </xdr:from>
    <xdr:to>
      <xdr:col>17</xdr:col>
      <xdr:colOff>858119</xdr:colOff>
      <xdr:row>53</xdr:row>
      <xdr:rowOff>114908</xdr:rowOff>
    </xdr:to>
    <xdr:pic>
      <xdr:nvPicPr>
        <xdr:cNvPr id="7" name="Imagen 6" descr="Pavco">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11067" y="9417846"/>
          <a:ext cx="1701052" cy="793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286993</xdr:colOff>
      <xdr:row>0</xdr:row>
      <xdr:rowOff>19609</xdr:rowOff>
    </xdr:from>
    <xdr:to>
      <xdr:col>14</xdr:col>
      <xdr:colOff>11516</xdr:colOff>
      <xdr:row>3</xdr:row>
      <xdr:rowOff>142874</xdr:rowOff>
    </xdr:to>
    <xdr:sp macro="" textlink="">
      <xdr:nvSpPr>
        <xdr:cNvPr id="8" name="Marcador de texto 2">
          <a:extLst>
            <a:ext uri="{FF2B5EF4-FFF2-40B4-BE49-F238E27FC236}">
              <a16:creationId xmlns:a16="http://schemas.microsoft.com/office/drawing/2014/main" id="{00000000-0008-0000-0000-000008000000}"/>
            </a:ext>
          </a:extLst>
        </xdr:cNvPr>
        <xdr:cNvSpPr>
          <a:spLocks noGrp="1"/>
        </xdr:cNvSpPr>
      </xdr:nvSpPr>
      <xdr:spPr>
        <a:xfrm>
          <a:off x="9430993" y="19609"/>
          <a:ext cx="1248523"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11</xdr:col>
      <xdr:colOff>550333</xdr:colOff>
      <xdr:row>0</xdr:row>
      <xdr:rowOff>19609</xdr:rowOff>
    </xdr:from>
    <xdr:to>
      <xdr:col>12</xdr:col>
      <xdr:colOff>287616</xdr:colOff>
      <xdr:row>3</xdr:row>
      <xdr:rowOff>142874</xdr:rowOff>
    </xdr:to>
    <xdr:sp macro="" textlink="">
      <xdr:nvSpPr>
        <xdr:cNvPr id="9" name="Marcador de texto 2">
          <a:extLst>
            <a:ext uri="{FF2B5EF4-FFF2-40B4-BE49-F238E27FC236}">
              <a16:creationId xmlns:a16="http://schemas.microsoft.com/office/drawing/2014/main" id="{00000000-0008-0000-0000-000009000000}"/>
            </a:ext>
          </a:extLst>
        </xdr:cNvPr>
        <xdr:cNvSpPr>
          <a:spLocks noGrp="1"/>
        </xdr:cNvSpPr>
      </xdr:nvSpPr>
      <xdr:spPr>
        <a:xfrm flipH="1">
          <a:off x="8932333" y="19609"/>
          <a:ext cx="499283"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126624" r="-315212"/>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5</xdr:col>
      <xdr:colOff>15564</xdr:colOff>
      <xdr:row>11</xdr:row>
      <xdr:rowOff>49802</xdr:rowOff>
    </xdr:from>
    <xdr:to>
      <xdr:col>13</xdr:col>
      <xdr:colOff>654299</xdr:colOff>
      <xdr:row>24</xdr:row>
      <xdr:rowOff>95250</xdr:rowOff>
    </xdr:to>
    <xdr:sp macro="" textlink="">
      <xdr:nvSpPr>
        <xdr:cNvPr id="10" name="Rectángulo: esquinas redondeadas 9">
          <a:extLst>
            <a:ext uri="{FF2B5EF4-FFF2-40B4-BE49-F238E27FC236}">
              <a16:creationId xmlns:a16="http://schemas.microsoft.com/office/drawing/2014/main" id="{00000000-0008-0000-0000-00000A000000}"/>
            </a:ext>
          </a:extLst>
        </xdr:cNvPr>
        <xdr:cNvSpPr/>
      </xdr:nvSpPr>
      <xdr:spPr>
        <a:xfrm>
          <a:off x="3825564" y="2145302"/>
          <a:ext cx="6734735" cy="2140948"/>
        </a:xfrm>
        <a:prstGeom prst="roundRect">
          <a:avLst>
            <a:gd name="adj" fmla="val 9871"/>
          </a:avLst>
        </a:prstGeom>
        <a:solidFill>
          <a:srgbClr val="2B2B6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105832</xdr:colOff>
      <xdr:row>11</xdr:row>
      <xdr:rowOff>144991</xdr:rowOff>
    </xdr:from>
    <xdr:to>
      <xdr:col>10</xdr:col>
      <xdr:colOff>751415</xdr:colOff>
      <xdr:row>13</xdr:row>
      <xdr:rowOff>133785</xdr:rowOff>
    </xdr:to>
    <xdr:sp macro="" textlink="">
      <xdr:nvSpPr>
        <xdr:cNvPr id="11" name="Rectángulo: esquinas diagonales cortadas 10">
          <a:extLst>
            <a:ext uri="{FF2B5EF4-FFF2-40B4-BE49-F238E27FC236}">
              <a16:creationId xmlns:a16="http://schemas.microsoft.com/office/drawing/2014/main" id="{00000000-0008-0000-0000-00000B000000}"/>
            </a:ext>
          </a:extLst>
        </xdr:cNvPr>
        <xdr:cNvSpPr/>
      </xdr:nvSpPr>
      <xdr:spPr>
        <a:xfrm flipV="1">
          <a:off x="3153832" y="2240491"/>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126999</xdr:colOff>
      <xdr:row>11</xdr:row>
      <xdr:rowOff>179045</xdr:rowOff>
    </xdr:from>
    <xdr:to>
      <xdr:col>11</xdr:col>
      <xdr:colOff>455082</xdr:colOff>
      <xdr:row>13</xdr:row>
      <xdr:rowOff>147108</xdr:rowOff>
    </xdr:to>
    <xdr:sp macro="" textlink="">
      <xdr:nvSpPr>
        <xdr:cNvPr id="12" name="CuadroTexto 11">
          <a:extLst>
            <a:ext uri="{FF2B5EF4-FFF2-40B4-BE49-F238E27FC236}">
              <a16:creationId xmlns:a16="http://schemas.microsoft.com/office/drawing/2014/main" id="{00000000-0008-0000-0000-00000C000000}"/>
            </a:ext>
          </a:extLst>
        </xdr:cNvPr>
        <xdr:cNvSpPr txBox="1"/>
      </xdr:nvSpPr>
      <xdr:spPr>
        <a:xfrm>
          <a:off x="3174999" y="2274545"/>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600" b="1">
              <a:solidFill>
                <a:schemeClr val="bg1"/>
              </a:solidFill>
              <a:latin typeface="PT Sans Narrow" panose="020B0506020203020204" pitchFamily="34" charset="0"/>
            </a:rPr>
            <a:t>!LEE ESTO ANTES DE COMENZAR</a:t>
          </a:r>
          <a:r>
            <a:rPr lang="es-CO" sz="1600" b="1" baseline="0">
              <a:solidFill>
                <a:schemeClr val="bg1"/>
              </a:solidFill>
              <a:latin typeface="PT Sans Narrow" panose="020B0506020203020204" pitchFamily="34" charset="0"/>
            </a:rPr>
            <a:t>!</a:t>
          </a:r>
          <a:endParaRPr lang="es-CO" sz="1600" b="1">
            <a:solidFill>
              <a:schemeClr val="bg1"/>
            </a:solidFill>
            <a:latin typeface="PT Sans Narrow" panose="020B0506020203020204" pitchFamily="34" charset="0"/>
          </a:endParaRPr>
        </a:p>
      </xdr:txBody>
    </xdr:sp>
    <xdr:clientData/>
  </xdr:twoCellAnchor>
  <xdr:twoCellAnchor>
    <xdr:from>
      <xdr:col>5</xdr:col>
      <xdr:colOff>74082</xdr:colOff>
      <xdr:row>14</xdr:row>
      <xdr:rowOff>48949</xdr:rowOff>
    </xdr:from>
    <xdr:to>
      <xdr:col>13</xdr:col>
      <xdr:colOff>297655</xdr:colOff>
      <xdr:row>24</xdr:row>
      <xdr:rowOff>38365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3884082" y="2715949"/>
          <a:ext cx="6319573" cy="1513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CO" sz="1400" b="1">
              <a:solidFill>
                <a:schemeClr val="bg1"/>
              </a:solidFill>
              <a:latin typeface="PT Sans Narrow" panose="020B0506020203020204" pitchFamily="34" charset="0"/>
            </a:rPr>
            <a:t>LAS</a:t>
          </a:r>
          <a:r>
            <a:rPr lang="es-CO" sz="1400" b="1" baseline="0">
              <a:solidFill>
                <a:schemeClr val="bg1"/>
              </a:solidFill>
              <a:latin typeface="PT Sans Narrow" panose="020B0506020203020204" pitchFamily="34" charset="0"/>
            </a:rPr>
            <a:t> METODOLOGÍAS PLANTEADAS EN ESTA HOJA DE CÁLCULO ESTÁN BASADAS EN DOCUMENTACIÓN LA CUAL PUEDES ENCONTRAR OPRIMIENDO EL BOTON DE </a:t>
          </a:r>
          <a:r>
            <a:rPr lang="es-CO" sz="1400" b="1" i="1" baseline="0">
              <a:solidFill>
                <a:schemeClr val="bg1"/>
              </a:solidFill>
              <a:latin typeface="PT Sans Narrow" panose="020B0506020203020204" pitchFamily="34" charset="0"/>
            </a:rPr>
            <a:t>REFERENCIAS Y COPYRIGHT</a:t>
          </a:r>
          <a:r>
            <a:rPr lang="es-CO" sz="1400" b="1" i="0" baseline="0">
              <a:solidFill>
                <a:schemeClr val="bg1"/>
              </a:solidFill>
              <a:latin typeface="PT Sans Narrow" panose="020B0506020203020204" pitchFamily="34" charset="0"/>
            </a:rPr>
            <a:t>.</a:t>
          </a:r>
        </a:p>
        <a:p>
          <a:pPr algn="l"/>
          <a:endParaRPr lang="es-CO" sz="1400" b="1" i="0" baseline="0">
            <a:solidFill>
              <a:schemeClr val="bg1"/>
            </a:solidFill>
            <a:latin typeface="PT Sans Narrow" panose="020B0506020203020204" pitchFamily="34" charset="0"/>
          </a:endParaRPr>
        </a:p>
        <a:p>
          <a:pPr algn="l"/>
          <a:r>
            <a:rPr lang="es-CO" sz="1400" b="1" i="0" baseline="0">
              <a:solidFill>
                <a:schemeClr val="bg1"/>
              </a:solidFill>
              <a:latin typeface="PT Sans Narrow" panose="020B0506020203020204" pitchFamily="34" charset="0"/>
            </a:rPr>
            <a:t>TE SUGERIMOS QUE SI NO CONOCES ESTAS METODOLOGÍAS, LAS LEAS PARA TENER UN MEJOR ENTENDIMIENTO DEL CÁLCULO Y VERIFIACIÓN QUE SE REALIZAN PARA EL SISTEMA AQUACELL.</a:t>
          </a:r>
          <a:endParaRPr lang="es-CO" sz="1400" b="1">
            <a:solidFill>
              <a:schemeClr val="bg1"/>
            </a:solidFill>
            <a:latin typeface="PT Sans Narrow" panose="020B0506020203020204" pitchFamily="34" charset="0"/>
          </a:endParaRPr>
        </a:p>
      </xdr:txBody>
    </xdr:sp>
    <xdr:clientData/>
  </xdr:twoCellAnchor>
  <xdr:twoCellAnchor>
    <xdr:from>
      <xdr:col>5</xdr:col>
      <xdr:colOff>15564</xdr:colOff>
      <xdr:row>30</xdr:row>
      <xdr:rowOff>51594</xdr:rowOff>
    </xdr:from>
    <xdr:to>
      <xdr:col>13</xdr:col>
      <xdr:colOff>654299</xdr:colOff>
      <xdr:row>43</xdr:row>
      <xdr:rowOff>44125</xdr:rowOff>
    </xdr:to>
    <xdr:sp macro="" textlink="">
      <xdr:nvSpPr>
        <xdr:cNvPr id="22" name="Rectángulo: esquinas redondeadas 21">
          <a:extLst>
            <a:ext uri="{FF2B5EF4-FFF2-40B4-BE49-F238E27FC236}">
              <a16:creationId xmlns:a16="http://schemas.microsoft.com/office/drawing/2014/main" id="{00000000-0008-0000-0000-000016000000}"/>
            </a:ext>
          </a:extLst>
        </xdr:cNvPr>
        <xdr:cNvSpPr/>
      </xdr:nvSpPr>
      <xdr:spPr>
        <a:xfrm>
          <a:off x="3825564" y="5385594"/>
          <a:ext cx="6734735" cy="2469031"/>
        </a:xfrm>
        <a:prstGeom prst="roundRect">
          <a:avLst>
            <a:gd name="adj" fmla="val 9871"/>
          </a:avLst>
        </a:prstGeom>
        <a:solidFill>
          <a:srgbClr val="2B2B6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42958</xdr:colOff>
      <xdr:row>31</xdr:row>
      <xdr:rowOff>52979</xdr:rowOff>
    </xdr:from>
    <xdr:to>
      <xdr:col>12</xdr:col>
      <xdr:colOff>667374</xdr:colOff>
      <xdr:row>42</xdr:row>
      <xdr:rowOff>59535</xdr:rowOff>
    </xdr:to>
    <xdr:sp macro="" textlink="">
      <xdr:nvSpPr>
        <xdr:cNvPr id="23" name="CuadroTexto 22">
          <a:extLst>
            <a:ext uri="{FF2B5EF4-FFF2-40B4-BE49-F238E27FC236}">
              <a16:creationId xmlns:a16="http://schemas.microsoft.com/office/drawing/2014/main" id="{00000000-0008-0000-0000-000017000000}"/>
            </a:ext>
          </a:extLst>
        </xdr:cNvPr>
        <xdr:cNvSpPr txBox="1"/>
      </xdr:nvSpPr>
      <xdr:spPr>
        <a:xfrm>
          <a:off x="3852958" y="5958479"/>
          <a:ext cx="5958416" cy="2102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chemeClr val="bg1"/>
              </a:solidFill>
              <a:latin typeface="PT Sans Narrow" panose="020B0506020203020204" pitchFamily="34" charset="0"/>
            </a:rPr>
            <a:t>Esta herramienta de cálculo es un recurso distribuido de forma gratuita por Pavco Wavin® como complemento del Manual de Técnico de AQUACELL. El usuario final deberá tener por lo menos conocimiento sobre el comportamiento y sustento teórico que rigen a estas estructuras, su aplicabilidad y limitaciones. </a:t>
          </a:r>
        </a:p>
        <a:p>
          <a:endParaRPr lang="es-CO" sz="1200" b="1">
            <a:solidFill>
              <a:schemeClr val="bg1"/>
            </a:solidFill>
            <a:latin typeface="PT Sans Narrow" panose="020B0506020203020204" pitchFamily="34" charset="0"/>
          </a:endParaRPr>
        </a:p>
        <a:p>
          <a:r>
            <a:rPr lang="es-CO" sz="1200" b="1">
              <a:solidFill>
                <a:schemeClr val="bg1"/>
              </a:solidFill>
              <a:latin typeface="PT Sans Narrow" panose="020B0506020203020204" pitchFamily="34" charset="0"/>
            </a:rPr>
            <a:t>Esta herramienta NO debe ser utilizada en reemplazo de un Ingeniero Diseñador.</a:t>
          </a:r>
        </a:p>
        <a:p>
          <a:endParaRPr lang="es-CO" sz="1200" b="1">
            <a:solidFill>
              <a:schemeClr val="bg1"/>
            </a:solidFill>
            <a:latin typeface="PT Sans Narrow" panose="020B0506020203020204" pitchFamily="34" charset="0"/>
          </a:endParaRPr>
        </a:p>
        <a:p>
          <a:r>
            <a:rPr lang="es-CO" sz="1200" b="1">
              <a:solidFill>
                <a:schemeClr val="bg1"/>
              </a:solidFill>
              <a:latin typeface="PT Sans Narrow" panose="020B0506020203020204" pitchFamily="34" charset="0"/>
            </a:rPr>
            <a:t>A pesar de todos los esfuerzos realizados por Pavco Wavin® para verificar el correcto funcionamiento y resultados de la herramienta, el desarrollador no se hace responsable por cualquier error de cálculo u omisión que resulte del uso de la hoja electrónica. </a:t>
          </a:r>
        </a:p>
        <a:p>
          <a:endParaRPr lang="es-CO" sz="1200" b="1">
            <a:solidFill>
              <a:schemeClr val="bg1"/>
            </a:solidFill>
            <a:latin typeface="PT Sans Narrow" panose="020B0506020203020204" pitchFamily="34" charset="0"/>
          </a:endParaRPr>
        </a:p>
        <a:p>
          <a:r>
            <a:rPr lang="es-CO" sz="1200" b="1">
              <a:solidFill>
                <a:schemeClr val="bg1"/>
              </a:solidFill>
              <a:latin typeface="PT Sans Narrow" panose="020B0506020203020204" pitchFamily="34" charset="0"/>
            </a:rPr>
            <a:t>Datos asumidos o valores ingresados erróneamente pueden generar soluciones incorrectas.</a:t>
          </a:r>
        </a:p>
      </xdr:txBody>
    </xdr:sp>
    <xdr:clientData/>
  </xdr:twoCellAnchor>
  <xdr:twoCellAnchor>
    <xdr:from>
      <xdr:col>4</xdr:col>
      <xdr:colOff>740834</xdr:colOff>
      <xdr:row>5</xdr:row>
      <xdr:rowOff>23826</xdr:rowOff>
    </xdr:from>
    <xdr:to>
      <xdr:col>13</xdr:col>
      <xdr:colOff>607220</xdr:colOff>
      <xdr:row>10</xdr:row>
      <xdr:rowOff>2666</xdr:rowOff>
    </xdr:to>
    <xdr:sp macro="" textlink="">
      <xdr:nvSpPr>
        <xdr:cNvPr id="24" name="Rectángulo: una sola esquina cortada 23">
          <a:extLst>
            <a:ext uri="{FF2B5EF4-FFF2-40B4-BE49-F238E27FC236}">
              <a16:creationId xmlns:a16="http://schemas.microsoft.com/office/drawing/2014/main" id="{00000000-0008-0000-0000-000018000000}"/>
            </a:ext>
          </a:extLst>
        </xdr:cNvPr>
        <xdr:cNvSpPr/>
      </xdr:nvSpPr>
      <xdr:spPr>
        <a:xfrm>
          <a:off x="3788834" y="976326"/>
          <a:ext cx="6724386" cy="931340"/>
        </a:xfrm>
        <a:prstGeom prst="snip1Rect">
          <a:avLst/>
        </a:prstGeom>
        <a:solidFill>
          <a:srgbClr val="F533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530483</xdr:colOff>
      <xdr:row>5</xdr:row>
      <xdr:rowOff>177290</xdr:rowOff>
    </xdr:from>
    <xdr:to>
      <xdr:col>11</xdr:col>
      <xdr:colOff>226219</xdr:colOff>
      <xdr:row>9</xdr:row>
      <xdr:rowOff>23812</xdr:rowOff>
    </xdr:to>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5864483" y="1129790"/>
          <a:ext cx="2743736" cy="6085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3600" b="1" u="sng">
              <a:solidFill>
                <a:schemeClr val="bg1"/>
              </a:solidFill>
              <a:latin typeface="PT Sans Narrow" panose="020B0506020203020204" pitchFamily="34" charset="0"/>
            </a:rPr>
            <a:t>ADVERTENCIA</a:t>
          </a:r>
          <a:endParaRPr lang="es-CO" sz="3200" b="1" u="sng">
            <a:solidFill>
              <a:schemeClr val="bg1"/>
            </a:solidFill>
            <a:latin typeface="PT Sans Narrow" panose="020B0506020203020204" pitchFamily="34" charset="0"/>
          </a:endParaRPr>
        </a:p>
      </xdr:txBody>
    </xdr:sp>
    <xdr:clientData/>
  </xdr:twoCellAnchor>
  <xdr:twoCellAnchor editAs="oneCell">
    <xdr:from>
      <xdr:col>5</xdr:col>
      <xdr:colOff>162718</xdr:colOff>
      <xdr:row>5</xdr:row>
      <xdr:rowOff>166688</xdr:rowOff>
    </xdr:from>
    <xdr:to>
      <xdr:col>6</xdr:col>
      <xdr:colOff>78051</xdr:colOff>
      <xdr:row>9</xdr:row>
      <xdr:rowOff>82021</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72718" y="1119188"/>
          <a:ext cx="677333" cy="677333"/>
        </a:xfrm>
        <a:prstGeom prst="rect">
          <a:avLst/>
        </a:prstGeom>
      </xdr:spPr>
    </xdr:pic>
    <xdr:clientData/>
  </xdr:twoCellAnchor>
  <xdr:twoCellAnchor>
    <xdr:from>
      <xdr:col>4</xdr:col>
      <xdr:colOff>732155</xdr:colOff>
      <xdr:row>49</xdr:row>
      <xdr:rowOff>182488</xdr:rowOff>
    </xdr:from>
    <xdr:to>
      <xdr:col>8</xdr:col>
      <xdr:colOff>389443</xdr:colOff>
      <xdr:row>53</xdr:row>
      <xdr:rowOff>117158</xdr:rowOff>
    </xdr:to>
    <xdr:sp macro="" textlink="">
      <xdr:nvSpPr>
        <xdr:cNvPr id="27" name="Marcador de texto 2">
          <a:extLst>
            <a:ext uri="{FF2B5EF4-FFF2-40B4-BE49-F238E27FC236}">
              <a16:creationId xmlns:a16="http://schemas.microsoft.com/office/drawing/2014/main" id="{00000000-0008-0000-0000-00001B000000}"/>
            </a:ext>
          </a:extLst>
        </xdr:cNvPr>
        <xdr:cNvSpPr>
          <a:spLocks noGrp="1"/>
        </xdr:cNvSpPr>
      </xdr:nvSpPr>
      <xdr:spPr>
        <a:xfrm flipH="1" flipV="1">
          <a:off x="3875405" y="9516988"/>
          <a:ext cx="2800538" cy="696670"/>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8</xdr:col>
      <xdr:colOff>374426</xdr:colOff>
      <xdr:row>49</xdr:row>
      <xdr:rowOff>182488</xdr:rowOff>
    </xdr:from>
    <xdr:to>
      <xdr:col>11</xdr:col>
      <xdr:colOff>564927</xdr:colOff>
      <xdr:row>53</xdr:row>
      <xdr:rowOff>117158</xdr:rowOff>
    </xdr:to>
    <xdr:sp macro="" textlink="">
      <xdr:nvSpPr>
        <xdr:cNvPr id="28" name="Marcador de texto 2">
          <a:extLst>
            <a:ext uri="{FF2B5EF4-FFF2-40B4-BE49-F238E27FC236}">
              <a16:creationId xmlns:a16="http://schemas.microsoft.com/office/drawing/2014/main" id="{00000000-0008-0000-0000-00001C000000}"/>
            </a:ext>
          </a:extLst>
        </xdr:cNvPr>
        <xdr:cNvSpPr>
          <a:spLocks noGrp="1"/>
        </xdr:cNvSpPr>
      </xdr:nvSpPr>
      <xdr:spPr>
        <a:xfrm>
          <a:off x="6660926" y="9516988"/>
          <a:ext cx="2547939" cy="696670"/>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12</xdr:col>
      <xdr:colOff>286135</xdr:colOff>
      <xdr:row>49</xdr:row>
      <xdr:rowOff>182488</xdr:rowOff>
    </xdr:from>
    <xdr:to>
      <xdr:col>14</xdr:col>
      <xdr:colOff>8753</xdr:colOff>
      <xdr:row>53</xdr:row>
      <xdr:rowOff>117158</xdr:rowOff>
    </xdr:to>
    <xdr:sp macro="" textlink="">
      <xdr:nvSpPr>
        <xdr:cNvPr id="29" name="Marcador de texto 2">
          <a:extLst>
            <a:ext uri="{FF2B5EF4-FFF2-40B4-BE49-F238E27FC236}">
              <a16:creationId xmlns:a16="http://schemas.microsoft.com/office/drawing/2014/main" id="{00000000-0008-0000-0000-00001D000000}"/>
            </a:ext>
          </a:extLst>
        </xdr:cNvPr>
        <xdr:cNvSpPr>
          <a:spLocks noGrp="1"/>
        </xdr:cNvSpPr>
      </xdr:nvSpPr>
      <xdr:spPr>
        <a:xfrm flipV="1">
          <a:off x="9715885" y="9516988"/>
          <a:ext cx="1294243" cy="696670"/>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11</xdr:col>
      <xdr:colOff>392535</xdr:colOff>
      <xdr:row>49</xdr:row>
      <xdr:rowOff>180584</xdr:rowOff>
    </xdr:from>
    <xdr:to>
      <xdr:col>12</xdr:col>
      <xdr:colOff>285852</xdr:colOff>
      <xdr:row>53</xdr:row>
      <xdr:rowOff>117159</xdr:rowOff>
    </xdr:to>
    <xdr:sp macro="" textlink="">
      <xdr:nvSpPr>
        <xdr:cNvPr id="30" name="Marcador de texto 2">
          <a:extLst>
            <a:ext uri="{FF2B5EF4-FFF2-40B4-BE49-F238E27FC236}">
              <a16:creationId xmlns:a16="http://schemas.microsoft.com/office/drawing/2014/main" id="{00000000-0008-0000-0000-00001E000000}"/>
            </a:ext>
          </a:extLst>
        </xdr:cNvPr>
        <xdr:cNvSpPr>
          <a:spLocks noGrp="1"/>
        </xdr:cNvSpPr>
      </xdr:nvSpPr>
      <xdr:spPr>
        <a:xfrm flipH="1" flipV="1">
          <a:off x="9036473" y="9515084"/>
          <a:ext cx="679129" cy="69857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94401" r="-211345"/>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0</xdr:col>
      <xdr:colOff>0</xdr:colOff>
      <xdr:row>29</xdr:row>
      <xdr:rowOff>189180</xdr:rowOff>
    </xdr:from>
    <xdr:to>
      <xdr:col>4</xdr:col>
      <xdr:colOff>285750</xdr:colOff>
      <xdr:row>51</xdr:row>
      <xdr:rowOff>83346</xdr:rowOff>
    </xdr:to>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0" y="5713680"/>
          <a:ext cx="3333750" cy="4085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i="0">
              <a:solidFill>
                <a:schemeClr val="bg1"/>
              </a:solidFill>
              <a:effectLst/>
              <a:latin typeface="PT Sans Narrow" panose="020B0506020203020204" pitchFamily="34" charset="0"/>
              <a:ea typeface="+mn-ea"/>
              <a:cs typeface="+mn-cs"/>
            </a:rPr>
            <a:t>Bogotá: Autopista Sur # 71-75.</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(601) 782 5000 Ext.:1101 Fax: +57 (601) 782 5020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Cali: Calle 64 Norte 5BN 46. Oficina R01, Centro Empresa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(602) 829 8969 EXT 2809</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Bucaramanga: Calle 30 # 22-129 Oficina 1802, Floridablanca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+57 314 330 2331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Barranquilla: Conmutador: +57 (605) 375 8100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0041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Itagüí - Antioquia: Calle 27 # 41-80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(604) 325 6660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Eje Cafetero: Carrera 17 # 5-58 Oficina 304 , Pereira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0025</a:t>
          </a:r>
          <a:endParaRPr lang="es-CO" sz="1200" b="1">
            <a:solidFill>
              <a:schemeClr val="bg1"/>
            </a:solidFill>
            <a:latin typeface="PT Sans Narrow" panose="020B0506020203020204" pitchFamily="34" charset="0"/>
          </a:endParaRPr>
        </a:p>
      </xdr:txBody>
    </xdr:sp>
    <xdr:clientData/>
  </xdr:twoCellAnchor>
  <xdr:twoCellAnchor editAs="oneCell">
    <xdr:from>
      <xdr:col>2</xdr:col>
      <xdr:colOff>116418</xdr:colOff>
      <xdr:row>51</xdr:row>
      <xdr:rowOff>145887</xdr:rowOff>
    </xdr:from>
    <xdr:to>
      <xdr:col>2</xdr:col>
      <xdr:colOff>467978</xdr:colOff>
      <xdr:row>53</xdr:row>
      <xdr:rowOff>124887</xdr:rowOff>
    </xdr:to>
    <xdr:pic>
      <xdr:nvPicPr>
        <xdr:cNvPr id="32" name="Imagen 31">
          <a:hlinkClick xmlns:r="http://schemas.openxmlformats.org/officeDocument/2006/relationships" r:id="rId4"/>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40418" y="9861387"/>
          <a:ext cx="351560" cy="360000"/>
        </a:xfrm>
        <a:prstGeom prst="rect">
          <a:avLst/>
        </a:prstGeom>
      </xdr:spPr>
    </xdr:pic>
    <xdr:clientData/>
  </xdr:twoCellAnchor>
  <xdr:twoCellAnchor editAs="oneCell">
    <xdr:from>
      <xdr:col>0</xdr:col>
      <xdr:colOff>349251</xdr:colOff>
      <xdr:row>51</xdr:row>
      <xdr:rowOff>145887</xdr:rowOff>
    </xdr:from>
    <xdr:to>
      <xdr:col>0</xdr:col>
      <xdr:colOff>699902</xdr:colOff>
      <xdr:row>53</xdr:row>
      <xdr:rowOff>124887</xdr:rowOff>
    </xdr:to>
    <xdr:pic>
      <xdr:nvPicPr>
        <xdr:cNvPr id="33" name="Imagen 32">
          <a:hlinkClick xmlns:r="http://schemas.openxmlformats.org/officeDocument/2006/relationships" r:id="rId6"/>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49251" y="9861387"/>
          <a:ext cx="350651" cy="360000"/>
        </a:xfrm>
        <a:prstGeom prst="rect">
          <a:avLst/>
        </a:prstGeom>
      </xdr:spPr>
    </xdr:pic>
    <xdr:clientData/>
  </xdr:twoCellAnchor>
  <xdr:twoCellAnchor editAs="oneCell">
    <xdr:from>
      <xdr:col>1</xdr:col>
      <xdr:colOff>213502</xdr:colOff>
      <xdr:row>51</xdr:row>
      <xdr:rowOff>188219</xdr:rowOff>
    </xdr:from>
    <xdr:to>
      <xdr:col>1</xdr:col>
      <xdr:colOff>618872</xdr:colOff>
      <xdr:row>53</xdr:row>
      <xdr:rowOff>167219</xdr:rowOff>
    </xdr:to>
    <xdr:pic>
      <xdr:nvPicPr>
        <xdr:cNvPr id="34" name="Imagen 33">
          <a:hlinkClick xmlns:r="http://schemas.openxmlformats.org/officeDocument/2006/relationships" r:id="rId8"/>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75502" y="9903719"/>
          <a:ext cx="405370" cy="360000"/>
        </a:xfrm>
        <a:prstGeom prst="rect">
          <a:avLst/>
        </a:prstGeom>
      </xdr:spPr>
    </xdr:pic>
    <xdr:clientData/>
  </xdr:twoCellAnchor>
  <xdr:twoCellAnchor>
    <xdr:from>
      <xdr:col>7</xdr:col>
      <xdr:colOff>702468</xdr:colOff>
      <xdr:row>25</xdr:row>
      <xdr:rowOff>95252</xdr:rowOff>
    </xdr:from>
    <xdr:to>
      <xdr:col>10</xdr:col>
      <xdr:colOff>678658</xdr:colOff>
      <xdr:row>29</xdr:row>
      <xdr:rowOff>179920</xdr:rowOff>
    </xdr:to>
    <xdr:grpSp>
      <xdr:nvGrpSpPr>
        <xdr:cNvPr id="39" name="Grupo 38">
          <a:extLst>
            <a:ext uri="{FF2B5EF4-FFF2-40B4-BE49-F238E27FC236}">
              <a16:creationId xmlns:a16="http://schemas.microsoft.com/office/drawing/2014/main" id="{00000000-0008-0000-0000-000027000000}"/>
            </a:ext>
          </a:extLst>
        </xdr:cNvPr>
        <xdr:cNvGrpSpPr/>
      </xdr:nvGrpSpPr>
      <xdr:grpSpPr>
        <a:xfrm>
          <a:off x="6036468" y="4857752"/>
          <a:ext cx="2262190" cy="846668"/>
          <a:chOff x="8614835" y="5545667"/>
          <a:chExt cx="1858430" cy="727606"/>
        </a:xfrm>
      </xdr:grpSpPr>
      <xdr:sp macro="[0]!REF" textlink="">
        <xdr:nvSpPr>
          <xdr:cNvPr id="40" name="Octágono 39">
            <a:extLst>
              <a:ext uri="{FF2B5EF4-FFF2-40B4-BE49-F238E27FC236}">
                <a16:creationId xmlns:a16="http://schemas.microsoft.com/office/drawing/2014/main" id="{00000000-0008-0000-0000-000028000000}"/>
              </a:ext>
            </a:extLst>
          </xdr:cNvPr>
          <xdr:cNvSpPr/>
        </xdr:nvSpPr>
        <xdr:spPr>
          <a:xfrm>
            <a:off x="8614835" y="5545667"/>
            <a:ext cx="1773764" cy="635001"/>
          </a:xfrm>
          <a:prstGeom prst="octagon">
            <a:avLst>
              <a:gd name="adj" fmla="val 1314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REF" textlink="">
        <xdr:nvSpPr>
          <xdr:cNvPr id="41" name="CuadroTexto 40">
            <a:extLst>
              <a:ext uri="{FF2B5EF4-FFF2-40B4-BE49-F238E27FC236}">
                <a16:creationId xmlns:a16="http://schemas.microsoft.com/office/drawing/2014/main" id="{00000000-0008-0000-0000-000029000000}"/>
              </a:ext>
            </a:extLst>
          </xdr:cNvPr>
          <xdr:cNvSpPr txBox="1"/>
        </xdr:nvSpPr>
        <xdr:spPr>
          <a:xfrm>
            <a:off x="9112251" y="5577418"/>
            <a:ext cx="1361014" cy="695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PT Sans Narrow" panose="020B0506020203020204" pitchFamily="34" charset="0"/>
              </a:rPr>
              <a:t>REFERENCIAS Y COPYRIGHT</a:t>
            </a:r>
          </a:p>
        </xdr:txBody>
      </xdr:sp>
      <xdr:pic macro="[0]!REF">
        <xdr:nvPicPr>
          <xdr:cNvPr id="42" name="Imagen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699499" y="5640916"/>
            <a:ext cx="445005" cy="446400"/>
          </a:xfrm>
          <a:prstGeom prst="rect">
            <a:avLst/>
          </a:prstGeom>
        </xdr:spPr>
      </xdr:pic>
    </xdr:grpSp>
    <xdr:clientData/>
  </xdr:twoCellAnchor>
  <xdr:twoCellAnchor editAs="oneCell">
    <xdr:from>
      <xdr:col>12</xdr:col>
      <xdr:colOff>571502</xdr:colOff>
      <xdr:row>5</xdr:row>
      <xdr:rowOff>166688</xdr:rowOff>
    </xdr:from>
    <xdr:to>
      <xdr:col>13</xdr:col>
      <xdr:colOff>486835</xdr:colOff>
      <xdr:row>9</xdr:row>
      <xdr:rowOff>82021</xdr:rowOff>
    </xdr:to>
    <xdr:pic>
      <xdr:nvPicPr>
        <xdr:cNvPr id="43" name="Imagen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715502" y="1119188"/>
          <a:ext cx="677333" cy="677333"/>
        </a:xfrm>
        <a:prstGeom prst="rect">
          <a:avLst/>
        </a:prstGeom>
      </xdr:spPr>
    </xdr:pic>
    <xdr:clientData/>
  </xdr:twoCellAnchor>
  <xdr:twoCellAnchor editAs="absolute">
    <xdr:from>
      <xdr:col>8</xdr:col>
      <xdr:colOff>211005</xdr:colOff>
      <xdr:row>44</xdr:row>
      <xdr:rowOff>142873</xdr:rowOff>
    </xdr:from>
    <xdr:to>
      <xdr:col>10</xdr:col>
      <xdr:colOff>408121</xdr:colOff>
      <xdr:row>48</xdr:row>
      <xdr:rowOff>111123</xdr:rowOff>
    </xdr:to>
    <xdr:grpSp>
      <xdr:nvGrpSpPr>
        <xdr:cNvPr id="44" name="COMENZAR">
          <a:extLst>
            <a:ext uri="{FF2B5EF4-FFF2-40B4-BE49-F238E27FC236}">
              <a16:creationId xmlns:a16="http://schemas.microsoft.com/office/drawing/2014/main" id="{00000000-0008-0000-0000-00002C000000}"/>
            </a:ext>
          </a:extLst>
        </xdr:cNvPr>
        <xdr:cNvGrpSpPr/>
      </xdr:nvGrpSpPr>
      <xdr:grpSpPr>
        <a:xfrm>
          <a:off x="6307005" y="8524873"/>
          <a:ext cx="1721116" cy="730250"/>
          <a:chOff x="5164670" y="4540245"/>
          <a:chExt cx="1566334" cy="635001"/>
        </a:xfrm>
      </xdr:grpSpPr>
      <xdr:sp macro="[0]!PORTADA" textlink="">
        <xdr:nvSpPr>
          <xdr:cNvPr id="45" name="Octágono 44">
            <a:extLst>
              <a:ext uri="{FF2B5EF4-FFF2-40B4-BE49-F238E27FC236}">
                <a16:creationId xmlns:a16="http://schemas.microsoft.com/office/drawing/2014/main" id="{00000000-0008-0000-0000-00002D000000}"/>
              </a:ext>
            </a:extLst>
          </xdr:cNvPr>
          <xdr:cNvSpPr/>
        </xdr:nvSpPr>
        <xdr:spPr>
          <a:xfrm>
            <a:off x="5164670" y="4540245"/>
            <a:ext cx="1566334" cy="635001"/>
          </a:xfrm>
          <a:prstGeom prst="octagon">
            <a:avLst>
              <a:gd name="adj" fmla="val 1314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PORTADA" textlink="">
        <xdr:nvSpPr>
          <xdr:cNvPr id="46" name="CuadroTexto 45">
            <a:extLst>
              <a:ext uri="{FF2B5EF4-FFF2-40B4-BE49-F238E27FC236}">
                <a16:creationId xmlns:a16="http://schemas.microsoft.com/office/drawing/2014/main" id="{00000000-0008-0000-0000-00002E000000}"/>
              </a:ext>
            </a:extLst>
          </xdr:cNvPr>
          <xdr:cNvSpPr txBox="1"/>
        </xdr:nvSpPr>
        <xdr:spPr>
          <a:xfrm>
            <a:off x="5640920" y="4698304"/>
            <a:ext cx="1090084"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PT Sans Narrow" panose="020B0506020203020204" pitchFamily="34" charset="0"/>
              </a:rPr>
              <a:t>CONTINUAR</a:t>
            </a:r>
          </a:p>
        </xdr:txBody>
      </xdr:sp>
      <xdr:pic macro="[0]!PORTADA">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259917" y="4646081"/>
            <a:ext cx="412068" cy="4140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4</xdr:col>
      <xdr:colOff>752699</xdr:colOff>
      <xdr:row>53</xdr:row>
      <xdr:rowOff>186086</xdr:rowOff>
    </xdr:from>
    <xdr:to>
      <xdr:col>15</xdr:col>
      <xdr:colOff>9301</xdr:colOff>
      <xdr:row>55</xdr:row>
      <xdr:rowOff>164781</xdr:rowOff>
    </xdr:to>
    <xdr:sp macro="" textlink="">
      <xdr:nvSpPr>
        <xdr:cNvPr id="8" name="Forma libre: forma 7">
          <a:extLst>
            <a:ext uri="{FF2B5EF4-FFF2-40B4-BE49-F238E27FC236}">
              <a16:creationId xmlns:a16="http://schemas.microsoft.com/office/drawing/2014/main" id="{00000000-0008-0000-0900-000008000000}"/>
            </a:ext>
          </a:extLst>
        </xdr:cNvPr>
        <xdr:cNvSpPr>
          <a:spLocks noChangeAspect="1"/>
        </xdr:cNvSpPr>
      </xdr:nvSpPr>
      <xdr:spPr>
        <a:xfrm>
          <a:off x="3798794" y="10280681"/>
          <a:ext cx="7642412" cy="363505"/>
        </a:xfrm>
        <a:custGeom>
          <a:avLst/>
          <a:gdLst>
            <a:gd name="connsiteX0" fmla="*/ 0 w 6890994"/>
            <a:gd name="connsiteY0" fmla="*/ 0 h 363505"/>
            <a:gd name="connsiteX1" fmla="*/ 6890994 w 6890994"/>
            <a:gd name="connsiteY1" fmla="*/ 0 h 363505"/>
            <a:gd name="connsiteX2" fmla="*/ 6890994 w 6890994"/>
            <a:gd name="connsiteY2" fmla="*/ 73702 h 363505"/>
            <a:gd name="connsiteX3" fmla="*/ 6601228 w 6890994"/>
            <a:gd name="connsiteY3" fmla="*/ 363505 h 363505"/>
            <a:gd name="connsiteX4" fmla="*/ 289766 w 6890994"/>
            <a:gd name="connsiteY4" fmla="*/ 363505 h 363505"/>
            <a:gd name="connsiteX5" fmla="*/ 0 w 6890994"/>
            <a:gd name="connsiteY5" fmla="*/ 73702 h 3635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890994" h="363505">
              <a:moveTo>
                <a:pt x="0" y="0"/>
              </a:moveTo>
              <a:lnTo>
                <a:pt x="6890994" y="0"/>
              </a:lnTo>
              <a:lnTo>
                <a:pt x="6890994" y="73702"/>
              </a:lnTo>
              <a:cubicBezTo>
                <a:pt x="6890994" y="233755"/>
                <a:pt x="6761261" y="363505"/>
                <a:pt x="6601228" y="363505"/>
              </a:cubicBezTo>
              <a:lnTo>
                <a:pt x="289766" y="363505"/>
              </a:lnTo>
              <a:cubicBezTo>
                <a:pt x="129733" y="363505"/>
                <a:pt x="0" y="233755"/>
                <a:pt x="0" y="73702"/>
              </a:cubicBezTo>
              <a:close/>
            </a:path>
          </a:pathLst>
        </a:cu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clientData/>
  </xdr:twoCellAnchor>
  <xdr:twoCellAnchor editAs="absolute">
    <xdr:from>
      <xdr:col>5</xdr:col>
      <xdr:colOff>0</xdr:colOff>
      <xdr:row>52</xdr:row>
      <xdr:rowOff>41516</xdr:rowOff>
    </xdr:from>
    <xdr:to>
      <xdr:col>8</xdr:col>
      <xdr:colOff>419288</xdr:colOff>
      <xdr:row>55</xdr:row>
      <xdr:rowOff>164781</xdr:rowOff>
    </xdr:to>
    <xdr:sp macro="" textlink="">
      <xdr:nvSpPr>
        <xdr:cNvPr id="29" name="Marcador de texto 2">
          <a:extLst>
            <a:ext uri="{FF2B5EF4-FFF2-40B4-BE49-F238E27FC236}">
              <a16:creationId xmlns:a16="http://schemas.microsoft.com/office/drawing/2014/main" id="{00000000-0008-0000-0900-00001D000000}"/>
            </a:ext>
          </a:extLst>
        </xdr:cNvPr>
        <xdr:cNvSpPr>
          <a:spLocks noGrp="1" noChangeAspect="1"/>
        </xdr:cNvSpPr>
      </xdr:nvSpPr>
      <xdr:spPr>
        <a:xfrm flipH="1" flipV="1">
          <a:off x="3810000" y="9949421"/>
          <a:ext cx="2705288"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8</xdr:col>
      <xdr:colOff>409986</xdr:colOff>
      <xdr:row>52</xdr:row>
      <xdr:rowOff>41516</xdr:rowOff>
    </xdr:from>
    <xdr:to>
      <xdr:col>11</xdr:col>
      <xdr:colOff>600487</xdr:colOff>
      <xdr:row>55</xdr:row>
      <xdr:rowOff>164781</xdr:rowOff>
    </xdr:to>
    <xdr:sp macro="" textlink="">
      <xdr:nvSpPr>
        <xdr:cNvPr id="30" name="Marcador de texto 2">
          <a:extLst>
            <a:ext uri="{FF2B5EF4-FFF2-40B4-BE49-F238E27FC236}">
              <a16:creationId xmlns:a16="http://schemas.microsoft.com/office/drawing/2014/main" id="{00000000-0008-0000-0900-00001E000000}"/>
            </a:ext>
          </a:extLst>
        </xdr:cNvPr>
        <xdr:cNvSpPr>
          <a:spLocks noGrp="1" noChangeAspect="1"/>
        </xdr:cNvSpPr>
      </xdr:nvSpPr>
      <xdr:spPr>
        <a:xfrm>
          <a:off x="6504081" y="9949421"/>
          <a:ext cx="2476501"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11</xdr:col>
      <xdr:colOff>446403</xdr:colOff>
      <xdr:row>52</xdr:row>
      <xdr:rowOff>59137</xdr:rowOff>
    </xdr:from>
    <xdr:to>
      <xdr:col>13</xdr:col>
      <xdr:colOff>273259</xdr:colOff>
      <xdr:row>55</xdr:row>
      <xdr:rowOff>180497</xdr:rowOff>
    </xdr:to>
    <xdr:sp macro="" textlink="">
      <xdr:nvSpPr>
        <xdr:cNvPr id="32" name="Marcador de texto 2">
          <a:extLst>
            <a:ext uri="{FF2B5EF4-FFF2-40B4-BE49-F238E27FC236}">
              <a16:creationId xmlns:a16="http://schemas.microsoft.com/office/drawing/2014/main" id="{00000000-0008-0000-0900-000020000000}"/>
            </a:ext>
          </a:extLst>
        </xdr:cNvPr>
        <xdr:cNvSpPr>
          <a:spLocks noGrp="1" noChangeAspect="1"/>
        </xdr:cNvSpPr>
      </xdr:nvSpPr>
      <xdr:spPr>
        <a:xfrm flipH="1" flipV="1">
          <a:off x="8826498" y="9961327"/>
          <a:ext cx="1354666"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8182" r="-91521"/>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13</xdr:col>
      <xdr:colOff>269839</xdr:colOff>
      <xdr:row>52</xdr:row>
      <xdr:rowOff>59137</xdr:rowOff>
    </xdr:from>
    <xdr:to>
      <xdr:col>14</xdr:col>
      <xdr:colOff>758267</xdr:colOff>
      <xdr:row>55</xdr:row>
      <xdr:rowOff>180497</xdr:rowOff>
    </xdr:to>
    <xdr:sp macro="" textlink="">
      <xdr:nvSpPr>
        <xdr:cNvPr id="31" name="Marcador de texto 2">
          <a:extLst>
            <a:ext uri="{FF2B5EF4-FFF2-40B4-BE49-F238E27FC236}">
              <a16:creationId xmlns:a16="http://schemas.microsoft.com/office/drawing/2014/main" id="{00000000-0008-0000-0900-00001F000000}"/>
            </a:ext>
          </a:extLst>
        </xdr:cNvPr>
        <xdr:cNvSpPr>
          <a:spLocks noGrp="1" noChangeAspect="1"/>
        </xdr:cNvSpPr>
      </xdr:nvSpPr>
      <xdr:spPr>
        <a:xfrm flipV="1">
          <a:off x="10177744" y="9961327"/>
          <a:ext cx="1248523"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15</xdr:col>
      <xdr:colOff>681067</xdr:colOff>
      <xdr:row>51</xdr:row>
      <xdr:rowOff>85593</xdr:rowOff>
    </xdr:from>
    <xdr:to>
      <xdr:col>17</xdr:col>
      <xdr:colOff>861929</xdr:colOff>
      <xdr:row>55</xdr:row>
      <xdr:rowOff>119060</xdr:rowOff>
    </xdr:to>
    <xdr:pic>
      <xdr:nvPicPr>
        <xdr:cNvPr id="2" name="Orbia Logo" descr="Pavc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11067" y="9802998"/>
          <a:ext cx="1701052" cy="793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148172</xdr:colOff>
      <xdr:row>52</xdr:row>
      <xdr:rowOff>171829</xdr:rowOff>
    </xdr:from>
    <xdr:to>
      <xdr:col>2</xdr:col>
      <xdr:colOff>499732</xdr:colOff>
      <xdr:row>54</xdr:row>
      <xdr:rowOff>141304</xdr:rowOff>
    </xdr:to>
    <xdr:pic>
      <xdr:nvPicPr>
        <xdr:cNvPr id="4" name="LinkedIn">
          <a:hlinkClick xmlns:r="http://schemas.openxmlformats.org/officeDocument/2006/relationships" r:id="rId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72172" y="10074019"/>
          <a:ext cx="351560" cy="350475"/>
        </a:xfrm>
        <a:prstGeom prst="rect">
          <a:avLst/>
        </a:prstGeom>
      </xdr:spPr>
    </xdr:pic>
    <xdr:clientData/>
  </xdr:twoCellAnchor>
  <xdr:twoCellAnchor editAs="absolute">
    <xdr:from>
      <xdr:col>1</xdr:col>
      <xdr:colOff>255009</xdr:colOff>
      <xdr:row>53</xdr:row>
      <xdr:rowOff>49695</xdr:rowOff>
    </xdr:from>
    <xdr:to>
      <xdr:col>1</xdr:col>
      <xdr:colOff>656569</xdr:colOff>
      <xdr:row>54</xdr:row>
      <xdr:rowOff>177285</xdr:rowOff>
    </xdr:to>
    <xdr:pic>
      <xdr:nvPicPr>
        <xdr:cNvPr id="6" name="YouTube">
          <a:hlinkClick xmlns:r="http://schemas.openxmlformats.org/officeDocument/2006/relationships" r:id="rId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15104" y="10148100"/>
          <a:ext cx="405370" cy="312375"/>
        </a:xfrm>
        <a:prstGeom prst="rect">
          <a:avLst/>
        </a:prstGeom>
      </xdr:spPr>
    </xdr:pic>
    <xdr:clientData/>
  </xdr:twoCellAnchor>
  <xdr:twoCellAnchor editAs="absolute">
    <xdr:from>
      <xdr:col>0</xdr:col>
      <xdr:colOff>414659</xdr:colOff>
      <xdr:row>52</xdr:row>
      <xdr:rowOff>171829</xdr:rowOff>
    </xdr:from>
    <xdr:to>
      <xdr:col>1</xdr:col>
      <xdr:colOff>1405</xdr:colOff>
      <xdr:row>54</xdr:row>
      <xdr:rowOff>141304</xdr:rowOff>
    </xdr:to>
    <xdr:pic>
      <xdr:nvPicPr>
        <xdr:cNvPr id="5" name="Facebook">
          <a:hlinkClick xmlns:r="http://schemas.openxmlformats.org/officeDocument/2006/relationships" r:id="rId7"/>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12754" y="10074019"/>
          <a:ext cx="350651" cy="350475"/>
        </a:xfrm>
        <a:prstGeom prst="rect">
          <a:avLst/>
        </a:prstGeom>
      </xdr:spPr>
    </xdr:pic>
    <xdr:clientData/>
  </xdr:twoCellAnchor>
  <xdr:twoCellAnchor editAs="absolute">
    <xdr:from>
      <xdr:col>0</xdr:col>
      <xdr:colOff>0</xdr:colOff>
      <xdr:row>32</xdr:row>
      <xdr:rowOff>99070</xdr:rowOff>
    </xdr:from>
    <xdr:to>
      <xdr:col>4</xdr:col>
      <xdr:colOff>289560</xdr:colOff>
      <xdr:row>52</xdr:row>
      <xdr:rowOff>182365</xdr:rowOff>
    </xdr:to>
    <xdr:sp macro="" textlink="">
      <xdr:nvSpPr>
        <xdr:cNvPr id="3" name="Info Pavco">
          <a:extLst>
            <a:ext uri="{FF2B5EF4-FFF2-40B4-BE49-F238E27FC236}">
              <a16:creationId xmlns:a16="http://schemas.microsoft.com/office/drawing/2014/main" id="{00000000-0008-0000-0900-000003000000}"/>
            </a:ext>
          </a:extLst>
        </xdr:cNvPr>
        <xdr:cNvSpPr txBox="1">
          <a:spLocks noChangeAspect="1"/>
        </xdr:cNvSpPr>
      </xdr:nvSpPr>
      <xdr:spPr>
        <a:xfrm>
          <a:off x="0" y="6191260"/>
          <a:ext cx="3333750" cy="389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i="0">
              <a:solidFill>
                <a:schemeClr val="bg1"/>
              </a:solidFill>
              <a:effectLst/>
              <a:latin typeface="PT Sans Narrow" panose="020B0506020203020204" pitchFamily="34" charset="0"/>
              <a:ea typeface="+mn-ea"/>
              <a:cs typeface="+mn-cs"/>
            </a:rPr>
            <a:t>Bogotá: Autopista Sur # 71-75.</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(601) 782 5000 Ext.:1101 Fax: +57 (601) 782 5020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Cali: Calle 64 Norte 5BN 46. Oficina R01, Centro Empresa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(602) 829 8969 EXT 2809</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Bucaramanga: Calle 30 # 22-129 Oficina 1802, Floridablanca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+57 314 330 2331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Barranquilla: Conmutador: +57 (605) 375 8100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0041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Itagüí - Antioquia: Calle 27 # 41-80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(604) 325 6660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Eje Cafetero: Carrera 17 # 5-58 Oficina 304 , Pereira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0025</a:t>
          </a:r>
          <a:endParaRPr lang="es-CO" sz="1200" b="1">
            <a:solidFill>
              <a:schemeClr val="bg1"/>
            </a:solidFill>
            <a:latin typeface="PT Sans Narrow" panose="020B0506020203020204" pitchFamily="34" charset="0"/>
          </a:endParaRPr>
        </a:p>
      </xdr:txBody>
    </xdr:sp>
    <xdr:clientData/>
  </xdr:twoCellAnchor>
  <xdr:twoCellAnchor editAs="absolute">
    <xdr:from>
      <xdr:col>17</xdr:col>
      <xdr:colOff>32792</xdr:colOff>
      <xdr:row>21</xdr:row>
      <xdr:rowOff>103774</xdr:rowOff>
    </xdr:from>
    <xdr:to>
      <xdr:col>17</xdr:col>
      <xdr:colOff>977479</xdr:colOff>
      <xdr:row>27</xdr:row>
      <xdr:rowOff>156936</xdr:rowOff>
    </xdr:to>
    <xdr:grpSp>
      <xdr:nvGrpSpPr>
        <xdr:cNvPr id="54" name="Boton Datos de Proy Up">
          <a:extLst>
            <a:ext uri="{FF2B5EF4-FFF2-40B4-BE49-F238E27FC236}">
              <a16:creationId xmlns:a16="http://schemas.microsoft.com/office/drawing/2014/main" id="{00000000-0008-0000-0900-000036000000}"/>
            </a:ext>
          </a:extLst>
        </xdr:cNvPr>
        <xdr:cNvGrpSpPr>
          <a:grpSpLocks noChangeAspect="1"/>
        </xdr:cNvGrpSpPr>
      </xdr:nvGrpSpPr>
      <xdr:grpSpPr>
        <a:xfrm>
          <a:off x="12986792" y="4104274"/>
          <a:ext cx="944687" cy="1196162"/>
          <a:chOff x="1725407" y="1124918"/>
          <a:chExt cx="1048614" cy="1520915"/>
        </a:xfrm>
      </xdr:grpSpPr>
      <xdr:sp macro="[0]!Volver_Datos_Proy" textlink="">
        <xdr:nvSpPr>
          <xdr:cNvPr id="55" name="Octágono 54">
            <a:extLst>
              <a:ext uri="{FF2B5EF4-FFF2-40B4-BE49-F238E27FC236}">
                <a16:creationId xmlns:a16="http://schemas.microsoft.com/office/drawing/2014/main" id="{00000000-0008-0000-0900-000037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Volver_Datos_Proy" textlink="">
        <xdr:nvSpPr>
          <xdr:cNvPr id="56" name="CuadroTexto 55">
            <a:extLst>
              <a:ext uri="{FF2B5EF4-FFF2-40B4-BE49-F238E27FC236}">
                <a16:creationId xmlns:a16="http://schemas.microsoft.com/office/drawing/2014/main" id="{00000000-0008-0000-0900-000038000000}"/>
              </a:ext>
            </a:extLst>
          </xdr:cNvPr>
          <xdr:cNvSpPr txBox="1"/>
        </xdr:nvSpPr>
        <xdr:spPr>
          <a:xfrm>
            <a:off x="1725407" y="1124918"/>
            <a:ext cx="1048614" cy="1021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DATOS DE PROYECTO</a:t>
            </a:r>
          </a:p>
        </xdr:txBody>
      </xdr:sp>
      <xdr:pic macro="[0]!Volver_Datos_Proy">
        <xdr:nvPicPr>
          <xdr:cNvPr id="57" name="Imagen 56">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twoCellAnchor editAs="absolute">
    <xdr:from>
      <xdr:col>8</xdr:col>
      <xdr:colOff>148167</xdr:colOff>
      <xdr:row>45</xdr:row>
      <xdr:rowOff>24976</xdr:rowOff>
    </xdr:from>
    <xdr:to>
      <xdr:col>11</xdr:col>
      <xdr:colOff>628227</xdr:colOff>
      <xdr:row>49</xdr:row>
      <xdr:rowOff>116416</xdr:rowOff>
    </xdr:to>
    <xdr:grpSp>
      <xdr:nvGrpSpPr>
        <xdr:cNvPr id="21" name="Boton Generar Cantidades">
          <a:extLst>
            <a:ext uri="{FF2B5EF4-FFF2-40B4-BE49-F238E27FC236}">
              <a16:creationId xmlns:a16="http://schemas.microsoft.com/office/drawing/2014/main" id="{00000000-0008-0000-0900-000015000000}"/>
            </a:ext>
          </a:extLst>
        </xdr:cNvPr>
        <xdr:cNvGrpSpPr>
          <a:grpSpLocks noChangeAspect="1"/>
        </xdr:cNvGrpSpPr>
      </xdr:nvGrpSpPr>
      <xdr:grpSpPr>
        <a:xfrm>
          <a:off x="6244167" y="8597476"/>
          <a:ext cx="2766060" cy="853440"/>
          <a:chOff x="6244167" y="8593666"/>
          <a:chExt cx="2762250" cy="857250"/>
        </a:xfrm>
      </xdr:grpSpPr>
      <xdr:sp macro="[0]!Generar_cantidades" textlink="">
        <xdr:nvSpPr>
          <xdr:cNvPr id="51" name="Octágono 50">
            <a:extLst>
              <a:ext uri="{FF2B5EF4-FFF2-40B4-BE49-F238E27FC236}">
                <a16:creationId xmlns:a16="http://schemas.microsoft.com/office/drawing/2014/main" id="{00000000-0008-0000-0900-000033000000}"/>
              </a:ext>
            </a:extLst>
          </xdr:cNvPr>
          <xdr:cNvSpPr/>
        </xdr:nvSpPr>
        <xdr:spPr>
          <a:xfrm>
            <a:off x="6244167" y="8593666"/>
            <a:ext cx="2762250" cy="857250"/>
          </a:xfrm>
          <a:prstGeom prst="octagon">
            <a:avLst>
              <a:gd name="adj" fmla="val 1314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Generar_cantidades" textlink="">
        <xdr:nvSpPr>
          <xdr:cNvPr id="52" name="CuadroTexto 51">
            <a:extLst>
              <a:ext uri="{FF2B5EF4-FFF2-40B4-BE49-F238E27FC236}">
                <a16:creationId xmlns:a16="http://schemas.microsoft.com/office/drawing/2014/main" id="{00000000-0008-0000-0900-000034000000}"/>
              </a:ext>
            </a:extLst>
          </xdr:cNvPr>
          <xdr:cNvSpPr txBox="1"/>
        </xdr:nvSpPr>
        <xdr:spPr>
          <a:xfrm>
            <a:off x="7397750" y="8654704"/>
            <a:ext cx="1576918" cy="753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b="1">
                <a:solidFill>
                  <a:schemeClr val="bg1"/>
                </a:solidFill>
                <a:latin typeface="PT Sans Narrow" panose="020B0506020203020204" pitchFamily="34" charset="0"/>
              </a:rPr>
              <a:t>GENERAR CANTIDADES</a:t>
            </a:r>
          </a:p>
        </xdr:txBody>
      </xdr:sp>
      <xdr:pic macro="[0]!Generar_cantidades">
        <xdr:nvPicPr>
          <xdr:cNvPr id="20" name="Imagen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66418" y="8635206"/>
            <a:ext cx="791296" cy="792000"/>
          </a:xfrm>
          <a:prstGeom prst="rect">
            <a:avLst/>
          </a:prstGeom>
        </xdr:spPr>
      </xdr:pic>
    </xdr:grpSp>
    <xdr:clientData/>
  </xdr:twoCellAnchor>
  <xdr:twoCellAnchor editAs="absolute">
    <xdr:from>
      <xdr:col>3</xdr:col>
      <xdr:colOff>437729</xdr:colOff>
      <xdr:row>34</xdr:row>
      <xdr:rowOff>100378</xdr:rowOff>
    </xdr:from>
    <xdr:to>
      <xdr:col>11</xdr:col>
      <xdr:colOff>2</xdr:colOff>
      <xdr:row>36</xdr:row>
      <xdr:rowOff>102495</xdr:rowOff>
    </xdr:to>
    <xdr:grpSp>
      <xdr:nvGrpSpPr>
        <xdr:cNvPr id="47" name="Generación de Cant">
          <a:extLst>
            <a:ext uri="{FF2B5EF4-FFF2-40B4-BE49-F238E27FC236}">
              <a16:creationId xmlns:a16="http://schemas.microsoft.com/office/drawing/2014/main" id="{00000000-0008-0000-0900-00002F000000}"/>
            </a:ext>
          </a:extLst>
        </xdr:cNvPr>
        <xdr:cNvGrpSpPr>
          <a:grpSpLocks noChangeAspect="1"/>
        </xdr:cNvGrpSpPr>
      </xdr:nvGrpSpPr>
      <xdr:grpSpPr>
        <a:xfrm>
          <a:off x="2723729" y="6577378"/>
          <a:ext cx="5658273" cy="383117"/>
          <a:chOff x="2730500" y="3196169"/>
          <a:chExt cx="5662083" cy="383117"/>
        </a:xfrm>
      </xdr:grpSpPr>
      <xdr:sp macro="" textlink="">
        <xdr:nvSpPr>
          <xdr:cNvPr id="48" name="Rectángulo: esquinas diagonales cortadas 47">
            <a:extLst>
              <a:ext uri="{FF2B5EF4-FFF2-40B4-BE49-F238E27FC236}">
                <a16:creationId xmlns:a16="http://schemas.microsoft.com/office/drawing/2014/main" id="{00000000-0008-0000-0900-000030000000}"/>
              </a:ext>
            </a:extLst>
          </xdr:cNvPr>
          <xdr:cNvSpPr/>
        </xdr:nvSpPr>
        <xdr:spPr>
          <a:xfrm flipV="1">
            <a:off x="2931581" y="3196169"/>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9" name="CuadroTexto 48">
            <a:extLst>
              <a:ext uri="{FF2B5EF4-FFF2-40B4-BE49-F238E27FC236}">
                <a16:creationId xmlns:a16="http://schemas.microsoft.com/office/drawing/2014/main" id="{00000000-0008-0000-0900-000031000000}"/>
              </a:ext>
            </a:extLst>
          </xdr:cNvPr>
          <xdr:cNvSpPr txBox="1"/>
        </xdr:nvSpPr>
        <xdr:spPr>
          <a:xfrm>
            <a:off x="2730500" y="3230223"/>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GENERACIÓN</a:t>
            </a:r>
            <a:r>
              <a:rPr lang="es-CO" sz="1400" b="1" baseline="0">
                <a:solidFill>
                  <a:schemeClr val="bg1"/>
                </a:solidFill>
                <a:latin typeface="PT Sans Narrow" panose="020B0506020203020204" pitchFamily="34" charset="0"/>
              </a:rPr>
              <a:t> DE CANTIDADES FINAL</a:t>
            </a:r>
            <a:endParaRPr lang="es-CO" sz="1400" b="1">
              <a:solidFill>
                <a:schemeClr val="bg1"/>
              </a:solidFill>
              <a:latin typeface="PT Sans Narrow" panose="020B0506020203020204" pitchFamily="34" charset="0"/>
            </a:endParaRPr>
          </a:p>
        </xdr:txBody>
      </xdr:sp>
    </xdr:grpSp>
    <xdr:clientData/>
  </xdr:twoCellAnchor>
  <xdr:twoCellAnchor editAs="absolute">
    <xdr:from>
      <xdr:col>3</xdr:col>
      <xdr:colOff>437729</xdr:colOff>
      <xdr:row>16</xdr:row>
      <xdr:rowOff>107742</xdr:rowOff>
    </xdr:from>
    <xdr:to>
      <xdr:col>11</xdr:col>
      <xdr:colOff>2</xdr:colOff>
      <xdr:row>18</xdr:row>
      <xdr:rowOff>109859</xdr:rowOff>
    </xdr:to>
    <xdr:grpSp>
      <xdr:nvGrpSpPr>
        <xdr:cNvPr id="16" name="Resumen Calculos">
          <a:extLst>
            <a:ext uri="{FF2B5EF4-FFF2-40B4-BE49-F238E27FC236}">
              <a16:creationId xmlns:a16="http://schemas.microsoft.com/office/drawing/2014/main" id="{00000000-0008-0000-0900-000010000000}"/>
            </a:ext>
          </a:extLst>
        </xdr:cNvPr>
        <xdr:cNvGrpSpPr>
          <a:grpSpLocks noChangeAspect="1"/>
        </xdr:cNvGrpSpPr>
      </xdr:nvGrpSpPr>
      <xdr:grpSpPr>
        <a:xfrm>
          <a:off x="2723729" y="3155742"/>
          <a:ext cx="5658273" cy="383117"/>
          <a:chOff x="2730500" y="3196169"/>
          <a:chExt cx="5662083" cy="383117"/>
        </a:xfrm>
      </xdr:grpSpPr>
      <xdr:sp macro="" textlink="">
        <xdr:nvSpPr>
          <xdr:cNvPr id="17" name="Rectángulo: esquinas diagonales cortadas 16">
            <a:extLst>
              <a:ext uri="{FF2B5EF4-FFF2-40B4-BE49-F238E27FC236}">
                <a16:creationId xmlns:a16="http://schemas.microsoft.com/office/drawing/2014/main" id="{00000000-0008-0000-0900-000011000000}"/>
              </a:ext>
            </a:extLst>
          </xdr:cNvPr>
          <xdr:cNvSpPr/>
        </xdr:nvSpPr>
        <xdr:spPr>
          <a:xfrm flipV="1">
            <a:off x="2931581" y="3196169"/>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730500" y="3230223"/>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RESUMEN DE LOS</a:t>
            </a:r>
            <a:r>
              <a:rPr lang="es-CO" sz="1400" b="1" baseline="0">
                <a:solidFill>
                  <a:schemeClr val="bg1"/>
                </a:solidFill>
                <a:latin typeface="PT Sans Narrow" panose="020B0506020203020204" pitchFamily="34" charset="0"/>
              </a:rPr>
              <a:t> CÁLCULOS INICIALES OBTENIDOS PARA EL TANQUE</a:t>
            </a:r>
            <a:endParaRPr lang="es-CO" sz="1400" b="1">
              <a:solidFill>
                <a:schemeClr val="bg1"/>
              </a:solidFill>
              <a:latin typeface="PT Sans Narrow" panose="020B0506020203020204" pitchFamily="34" charset="0"/>
            </a:endParaRPr>
          </a:p>
        </xdr:txBody>
      </xdr:sp>
    </xdr:grpSp>
    <xdr:clientData/>
  </xdr:twoCellAnchor>
  <xdr:twoCellAnchor editAs="absolute">
    <xdr:from>
      <xdr:col>3</xdr:col>
      <xdr:colOff>437729</xdr:colOff>
      <xdr:row>5</xdr:row>
      <xdr:rowOff>140071</xdr:rowOff>
    </xdr:from>
    <xdr:to>
      <xdr:col>11</xdr:col>
      <xdr:colOff>2</xdr:colOff>
      <xdr:row>7</xdr:row>
      <xdr:rowOff>140283</xdr:rowOff>
    </xdr:to>
    <xdr:grpSp>
      <xdr:nvGrpSpPr>
        <xdr:cNvPr id="13" name="Despiece de Material">
          <a:extLst>
            <a:ext uri="{FF2B5EF4-FFF2-40B4-BE49-F238E27FC236}">
              <a16:creationId xmlns:a16="http://schemas.microsoft.com/office/drawing/2014/main" id="{00000000-0008-0000-0900-00000D000000}"/>
            </a:ext>
          </a:extLst>
        </xdr:cNvPr>
        <xdr:cNvGrpSpPr>
          <a:grpSpLocks noChangeAspect="1"/>
        </xdr:cNvGrpSpPr>
      </xdr:nvGrpSpPr>
      <xdr:grpSpPr>
        <a:xfrm>
          <a:off x="2723729" y="1092571"/>
          <a:ext cx="5658273" cy="381212"/>
          <a:chOff x="2719919" y="1100667"/>
          <a:chExt cx="5662083" cy="383117"/>
        </a:xfrm>
      </xdr:grpSpPr>
      <xdr:sp macro="" textlink="">
        <xdr:nvSpPr>
          <xdr:cNvPr id="14" name="Rectángulo: esquinas diagonales cortadas 13">
            <a:extLst>
              <a:ext uri="{FF2B5EF4-FFF2-40B4-BE49-F238E27FC236}">
                <a16:creationId xmlns:a16="http://schemas.microsoft.com/office/drawing/2014/main" id="{00000000-0008-0000-0900-00000E000000}"/>
              </a:ext>
            </a:extLst>
          </xdr:cNvPr>
          <xdr:cNvSpPr/>
        </xdr:nvSpPr>
        <xdr:spPr>
          <a:xfrm flipV="1">
            <a:off x="2921000" y="1100667"/>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5" name="CuadroTexto 14">
            <a:extLst>
              <a:ext uri="{FF2B5EF4-FFF2-40B4-BE49-F238E27FC236}">
                <a16:creationId xmlns:a16="http://schemas.microsoft.com/office/drawing/2014/main" id="{00000000-0008-0000-0900-00000F000000}"/>
              </a:ext>
            </a:extLst>
          </xdr:cNvPr>
          <xdr:cNvSpPr txBox="1"/>
        </xdr:nvSpPr>
        <xdr:spPr>
          <a:xfrm>
            <a:off x="2719919" y="1134721"/>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DESPIECE DE MATERIAL</a:t>
            </a:r>
          </a:p>
        </xdr:txBody>
      </xdr:sp>
    </xdr:grpSp>
    <xdr:clientData/>
  </xdr:twoCellAnchor>
  <xdr:twoCellAnchor editAs="absolute">
    <xdr:from>
      <xdr:col>10</xdr:col>
      <xdr:colOff>572123</xdr:colOff>
      <xdr:row>0</xdr:row>
      <xdr:rowOff>24976</xdr:rowOff>
    </xdr:from>
    <xdr:to>
      <xdr:col>13</xdr:col>
      <xdr:colOff>175309</xdr:colOff>
      <xdr:row>5</xdr:row>
      <xdr:rowOff>33652</xdr:rowOff>
    </xdr:to>
    <xdr:grpSp>
      <xdr:nvGrpSpPr>
        <xdr:cNvPr id="9" name="FL">
          <a:extLst>
            <a:ext uri="{FF2B5EF4-FFF2-40B4-BE49-F238E27FC236}">
              <a16:creationId xmlns:a16="http://schemas.microsoft.com/office/drawing/2014/main" id="{00000000-0008-0000-0900-000009000000}"/>
            </a:ext>
          </a:extLst>
        </xdr:cNvPr>
        <xdr:cNvGrpSpPr>
          <a:grpSpLocks noChangeAspect="1"/>
        </xdr:cNvGrpSpPr>
      </xdr:nvGrpSpPr>
      <xdr:grpSpPr>
        <a:xfrm>
          <a:off x="8192123" y="24976"/>
          <a:ext cx="1889186" cy="961176"/>
          <a:chOff x="8192123" y="21166"/>
          <a:chExt cx="1885376" cy="963081"/>
        </a:xfrm>
      </xdr:grpSpPr>
      <xdr:sp macro="FL" textlink="">
        <xdr:nvSpPr>
          <xdr:cNvPr id="10" name="Pestaña FL">
            <a:extLst>
              <a:ext uri="{FF2B5EF4-FFF2-40B4-BE49-F238E27FC236}">
                <a16:creationId xmlns:a16="http://schemas.microsoft.com/office/drawing/2014/main" id="{00000000-0008-0000-0900-00000A000000}"/>
              </a:ext>
            </a:extLst>
          </xdr:cNvPr>
          <xdr:cNvSpPr/>
        </xdr:nvSpPr>
        <xdr:spPr>
          <a:xfrm flipH="1">
            <a:off x="8192123"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rgbClr val="2B2B62"/>
          </a:solidFill>
          <a:ln w="25400" cap="flat" cmpd="sng" algn="ctr">
            <a:solidFill>
              <a:schemeClr val="bg1">
                <a:lumMod val="100000"/>
              </a:schemeClr>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FL" textlink="">
        <xdr:nvSpPr>
          <xdr:cNvPr id="11" name="Texto FL">
            <a:extLst>
              <a:ext uri="{FF2B5EF4-FFF2-40B4-BE49-F238E27FC236}">
                <a16:creationId xmlns:a16="http://schemas.microsoft.com/office/drawing/2014/main" id="{00000000-0008-0000-0900-00000B000000}"/>
              </a:ext>
            </a:extLst>
          </xdr:cNvPr>
          <xdr:cNvSpPr txBox="1"/>
        </xdr:nvSpPr>
        <xdr:spPr>
          <a:xfrm>
            <a:off x="8303559"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lumMod val="100000"/>
                  </a:schemeClr>
                </a:solidFill>
                <a:effectLst/>
                <a:latin typeface="PT Sans Narrow" panose="020B0506020203020204" pitchFamily="34" charset="0"/>
                <a:ea typeface="+mn-ea"/>
                <a:cs typeface="+mn-cs"/>
              </a:rPr>
              <a:t> FLOTACIÓN</a:t>
            </a:r>
            <a:endParaRPr lang="es-CO" sz="1400" b="1">
              <a:solidFill>
                <a:schemeClr val="bg1">
                  <a:lumMod val="100000"/>
                </a:schemeClr>
              </a:solidFill>
              <a:latin typeface="PT Sans Narrow" panose="020B0506020203020204" pitchFamily="34" charset="0"/>
            </a:endParaRPr>
          </a:p>
        </xdr:txBody>
      </xdr:sp>
    </xdr:grpSp>
    <xdr:clientData/>
  </xdr:twoCellAnchor>
  <xdr:twoCellAnchor editAs="absolute">
    <xdr:from>
      <xdr:col>8</xdr:col>
      <xdr:colOff>580183</xdr:colOff>
      <xdr:row>0</xdr:row>
      <xdr:rowOff>24976</xdr:rowOff>
    </xdr:from>
    <xdr:to>
      <xdr:col>11</xdr:col>
      <xdr:colOff>183369</xdr:colOff>
      <xdr:row>5</xdr:row>
      <xdr:rowOff>33652</xdr:rowOff>
    </xdr:to>
    <xdr:grpSp>
      <xdr:nvGrpSpPr>
        <xdr:cNvPr id="33" name="INF">
          <a:extLst>
            <a:ext uri="{FF2B5EF4-FFF2-40B4-BE49-F238E27FC236}">
              <a16:creationId xmlns:a16="http://schemas.microsoft.com/office/drawing/2014/main" id="{00000000-0008-0000-0900-000021000000}"/>
            </a:ext>
          </a:extLst>
        </xdr:cNvPr>
        <xdr:cNvGrpSpPr>
          <a:grpSpLocks noChangeAspect="1"/>
        </xdr:cNvGrpSpPr>
      </xdr:nvGrpSpPr>
      <xdr:grpSpPr>
        <a:xfrm>
          <a:off x="6676183" y="24976"/>
          <a:ext cx="1889186" cy="961176"/>
          <a:chOff x="6678088" y="21166"/>
          <a:chExt cx="1885376" cy="963081"/>
        </a:xfrm>
      </xdr:grpSpPr>
      <xdr:sp macro="INF" textlink="">
        <xdr:nvSpPr>
          <xdr:cNvPr id="34" name="Pestaña INF">
            <a:extLst>
              <a:ext uri="{FF2B5EF4-FFF2-40B4-BE49-F238E27FC236}">
                <a16:creationId xmlns:a16="http://schemas.microsoft.com/office/drawing/2014/main" id="{00000000-0008-0000-0900-000022000000}"/>
              </a:ext>
            </a:extLst>
          </xdr:cNvPr>
          <xdr:cNvSpPr/>
        </xdr:nvSpPr>
        <xdr:spPr>
          <a:xfrm flipH="1">
            <a:off x="6678088"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rgbClr val="2B2B62"/>
          </a:solidFill>
          <a:ln w="25400" cap="flat" cmpd="sng" algn="ctr">
            <a:solidFill>
              <a:schemeClr val="bg1">
                <a:lumMod val="100000"/>
              </a:schemeClr>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INF" textlink="">
        <xdr:nvSpPr>
          <xdr:cNvPr id="35" name="Texto INF">
            <a:extLst>
              <a:ext uri="{FF2B5EF4-FFF2-40B4-BE49-F238E27FC236}">
                <a16:creationId xmlns:a16="http://schemas.microsoft.com/office/drawing/2014/main" id="{00000000-0008-0000-0900-000023000000}"/>
              </a:ext>
            </a:extLst>
          </xdr:cNvPr>
          <xdr:cNvSpPr txBox="1"/>
        </xdr:nvSpPr>
        <xdr:spPr>
          <a:xfrm>
            <a:off x="6808693"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lumMod val="100000"/>
                  </a:schemeClr>
                </a:solidFill>
                <a:effectLst/>
                <a:latin typeface="PT Sans Narrow" panose="020B0506020203020204" pitchFamily="34" charset="0"/>
                <a:ea typeface="+mn-ea"/>
                <a:cs typeface="+mn-cs"/>
              </a:rPr>
              <a:t> INFILTRACIÓN</a:t>
            </a:r>
            <a:endParaRPr lang="es-CO" sz="1400" b="1">
              <a:solidFill>
                <a:schemeClr val="bg1">
                  <a:lumMod val="100000"/>
                </a:schemeClr>
              </a:solidFill>
              <a:latin typeface="PT Sans Narrow" panose="020B0506020203020204" pitchFamily="34" charset="0"/>
            </a:endParaRPr>
          </a:p>
        </xdr:txBody>
      </xdr:sp>
    </xdr:grpSp>
    <xdr:clientData/>
  </xdr:twoCellAnchor>
  <xdr:twoCellAnchor editAs="absolute">
    <xdr:from>
      <xdr:col>6</xdr:col>
      <xdr:colOff>596478</xdr:colOff>
      <xdr:row>0</xdr:row>
      <xdr:rowOff>24976</xdr:rowOff>
    </xdr:from>
    <xdr:to>
      <xdr:col>9</xdr:col>
      <xdr:colOff>192044</xdr:colOff>
      <xdr:row>5</xdr:row>
      <xdr:rowOff>33652</xdr:rowOff>
    </xdr:to>
    <xdr:grpSp>
      <xdr:nvGrpSpPr>
        <xdr:cNvPr id="36" name="TDV">
          <a:extLst>
            <a:ext uri="{FF2B5EF4-FFF2-40B4-BE49-F238E27FC236}">
              <a16:creationId xmlns:a16="http://schemas.microsoft.com/office/drawing/2014/main" id="{00000000-0008-0000-0900-000024000000}"/>
            </a:ext>
          </a:extLst>
        </xdr:cNvPr>
        <xdr:cNvGrpSpPr>
          <a:grpSpLocks noChangeAspect="1"/>
        </xdr:cNvGrpSpPr>
      </xdr:nvGrpSpPr>
      <xdr:grpSpPr>
        <a:xfrm>
          <a:off x="5168478" y="24976"/>
          <a:ext cx="1881566" cy="961176"/>
          <a:chOff x="5164668" y="21166"/>
          <a:chExt cx="1885376" cy="963081"/>
        </a:xfrm>
      </xdr:grpSpPr>
      <xdr:sp macro="TDV" textlink="">
        <xdr:nvSpPr>
          <xdr:cNvPr id="37" name="Pestaña TDV">
            <a:extLst>
              <a:ext uri="{FF2B5EF4-FFF2-40B4-BE49-F238E27FC236}">
                <a16:creationId xmlns:a16="http://schemas.microsoft.com/office/drawing/2014/main" id="{00000000-0008-0000-0900-000025000000}"/>
              </a:ext>
            </a:extLst>
          </xdr:cNvPr>
          <xdr:cNvSpPr/>
        </xdr:nvSpPr>
        <xdr:spPr>
          <a:xfrm flipH="1">
            <a:off x="5164668"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rgbClr val="2B2B62"/>
          </a:solidFill>
          <a:ln w="25400" cap="flat" cmpd="sng" algn="ctr">
            <a:solidFill>
              <a:schemeClr val="bg1">
                <a:lumMod val="100000"/>
              </a:schemeClr>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TDV" textlink="">
        <xdr:nvSpPr>
          <xdr:cNvPr id="38" name="Texto TDV">
            <a:extLst>
              <a:ext uri="{FF2B5EF4-FFF2-40B4-BE49-F238E27FC236}">
                <a16:creationId xmlns:a16="http://schemas.microsoft.com/office/drawing/2014/main" id="{00000000-0008-0000-0900-000026000000}"/>
              </a:ext>
            </a:extLst>
          </xdr:cNvPr>
          <xdr:cNvSpPr txBox="1"/>
        </xdr:nvSpPr>
        <xdr:spPr>
          <a:xfrm>
            <a:off x="5311589" y="106456"/>
            <a:ext cx="1568823" cy="818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lumMod val="100000"/>
                  </a:schemeClr>
                </a:solidFill>
                <a:effectLst/>
                <a:latin typeface="PT Sans Narrow" panose="020B0506020203020204" pitchFamily="34" charset="0"/>
                <a:ea typeface="+mn-ea"/>
                <a:cs typeface="+mn-cs"/>
              </a:rPr>
              <a:t>TIEMPO</a:t>
            </a:r>
            <a:endParaRPr lang="es-CO" sz="1400" b="1" i="0" baseline="0">
              <a:solidFill>
                <a:schemeClr val="bg1">
                  <a:lumMod val="100000"/>
                </a:schemeClr>
              </a:solidFill>
              <a:effectLst/>
              <a:latin typeface="PT Sans Narrow" panose="020B0506020203020204" pitchFamily="34" charset="0"/>
              <a:ea typeface="+mn-ea"/>
              <a:cs typeface="+mn-cs"/>
            </a:endParaRPr>
          </a:p>
          <a:p>
            <a:pPr algn="ctr"/>
            <a:r>
              <a:rPr lang="es-CO" sz="1400" b="1" i="0" baseline="0">
                <a:solidFill>
                  <a:schemeClr val="bg1">
                    <a:lumMod val="100000"/>
                  </a:schemeClr>
                </a:solidFill>
                <a:effectLst/>
                <a:latin typeface="PT Sans Narrow" panose="020B0506020203020204" pitchFamily="34" charset="0"/>
                <a:ea typeface="+mn-ea"/>
                <a:cs typeface="+mn-cs"/>
              </a:rPr>
              <a:t>DE</a:t>
            </a:r>
          </a:p>
          <a:p>
            <a:pPr algn="ctr"/>
            <a:r>
              <a:rPr lang="es-CO" sz="1400" b="1" i="0" baseline="0">
                <a:solidFill>
                  <a:schemeClr val="bg1">
                    <a:lumMod val="100000"/>
                  </a:schemeClr>
                </a:solidFill>
                <a:effectLst/>
                <a:latin typeface="PT Sans Narrow" panose="020B0506020203020204" pitchFamily="34" charset="0"/>
                <a:ea typeface="+mn-ea"/>
                <a:cs typeface="+mn-cs"/>
              </a:rPr>
              <a:t>VACIADO</a:t>
            </a:r>
            <a:endParaRPr lang="es-CO" sz="1400" b="1">
              <a:solidFill>
                <a:schemeClr val="bg1">
                  <a:lumMod val="100000"/>
                </a:schemeClr>
              </a:solidFill>
              <a:latin typeface="PT Sans Narrow" panose="020B0506020203020204" pitchFamily="34" charset="0"/>
            </a:endParaRPr>
          </a:p>
        </xdr:txBody>
      </xdr:sp>
    </xdr:grpSp>
    <xdr:clientData/>
  </xdr:twoCellAnchor>
  <xdr:twoCellAnchor editAs="absolute">
    <xdr:from>
      <xdr:col>4</xdr:col>
      <xdr:colOff>709780</xdr:colOff>
      <xdr:row>0</xdr:row>
      <xdr:rowOff>24977</xdr:rowOff>
    </xdr:from>
    <xdr:to>
      <xdr:col>7</xdr:col>
      <xdr:colOff>289559</xdr:colOff>
      <xdr:row>5</xdr:row>
      <xdr:rowOff>42920</xdr:rowOff>
    </xdr:to>
    <xdr:grpSp>
      <xdr:nvGrpSpPr>
        <xdr:cNvPr id="43" name="D">
          <a:extLst>
            <a:ext uri="{FF2B5EF4-FFF2-40B4-BE49-F238E27FC236}">
              <a16:creationId xmlns:a16="http://schemas.microsoft.com/office/drawing/2014/main" id="{00000000-0008-0000-0900-00002B000000}"/>
            </a:ext>
          </a:extLst>
        </xdr:cNvPr>
        <xdr:cNvGrpSpPr>
          <a:grpSpLocks noChangeAspect="1"/>
        </xdr:cNvGrpSpPr>
      </xdr:nvGrpSpPr>
      <xdr:grpSpPr>
        <a:xfrm>
          <a:off x="3757780" y="24977"/>
          <a:ext cx="1865779" cy="970443"/>
          <a:chOff x="3753970" y="21167"/>
          <a:chExt cx="1865779" cy="976158"/>
        </a:xfrm>
      </xdr:grpSpPr>
      <xdr:sp macro="[0]!D" textlink="">
        <xdr:nvSpPr>
          <xdr:cNvPr id="40" name="Pestaña D">
            <a:extLst>
              <a:ext uri="{FF2B5EF4-FFF2-40B4-BE49-F238E27FC236}">
                <a16:creationId xmlns:a16="http://schemas.microsoft.com/office/drawing/2014/main" id="{00000000-0008-0000-0900-000028000000}"/>
              </a:ext>
            </a:extLst>
          </xdr:cNvPr>
          <xdr:cNvSpPr/>
        </xdr:nvSpPr>
        <xdr:spPr>
          <a:xfrm>
            <a:off x="3810000" y="21167"/>
            <a:ext cx="1809749" cy="976158"/>
          </a:xfrm>
          <a:custGeom>
            <a:avLst/>
            <a:gdLst>
              <a:gd name="connsiteX0" fmla="*/ 289766 w 1739654"/>
              <a:gd name="connsiteY0" fmla="*/ 0 h 857912"/>
              <a:gd name="connsiteX1" fmla="*/ 1153172 w 1739654"/>
              <a:gd name="connsiteY1" fmla="*/ 0 h 857912"/>
              <a:gd name="connsiteX2" fmla="*/ 1171726 w 1739654"/>
              <a:gd name="connsiteY2" fmla="*/ 1871 h 857912"/>
              <a:gd name="connsiteX3" fmla="*/ 1448928 w 1739654"/>
              <a:gd name="connsiteY3" fmla="*/ 279073 h 857912"/>
              <a:gd name="connsiteX4" fmla="*/ 1449888 w 1739654"/>
              <a:gd name="connsiteY4" fmla="*/ 288599 h 857912"/>
              <a:gd name="connsiteX5" fmla="*/ 1449888 w 1739654"/>
              <a:gd name="connsiteY5" fmla="*/ 568146 h 857912"/>
              <a:gd name="connsiteX6" fmla="*/ 1739654 w 1739654"/>
              <a:gd name="connsiteY6" fmla="*/ 857912 h 857912"/>
              <a:gd name="connsiteX7" fmla="*/ 352308 w 1739654"/>
              <a:gd name="connsiteY7" fmla="*/ 857912 h 857912"/>
              <a:gd name="connsiteX8" fmla="*/ 0 w 1739654"/>
              <a:gd name="connsiteY8" fmla="*/ 857912 h 857912"/>
              <a:gd name="connsiteX9" fmla="*/ 0 w 1739654"/>
              <a:gd name="connsiteY9" fmla="*/ 289766 h 857912"/>
              <a:gd name="connsiteX10" fmla="*/ 289766 w 1739654"/>
              <a:gd name="connsiteY10" fmla="*/ 0 h 857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39654" h="857912">
                <a:moveTo>
                  <a:pt x="289766" y="0"/>
                </a:moveTo>
                <a:lnTo>
                  <a:pt x="1153172" y="0"/>
                </a:lnTo>
                <a:lnTo>
                  <a:pt x="1171726" y="1871"/>
                </a:lnTo>
                <a:cubicBezTo>
                  <a:pt x="1310865" y="30343"/>
                  <a:pt x="1420456" y="139933"/>
                  <a:pt x="1448928" y="279073"/>
                </a:cubicBezTo>
                <a:lnTo>
                  <a:pt x="1449888" y="288599"/>
                </a:lnTo>
                <a:lnTo>
                  <a:pt x="1449888" y="568146"/>
                </a:lnTo>
                <a:cubicBezTo>
                  <a:pt x="1449888" y="728179"/>
                  <a:pt x="1579621" y="857912"/>
                  <a:pt x="1739654" y="857912"/>
                </a:cubicBezTo>
                <a:lnTo>
                  <a:pt x="352308" y="857912"/>
                </a:lnTo>
                <a:lnTo>
                  <a:pt x="0" y="857912"/>
                </a:lnTo>
                <a:lnTo>
                  <a:pt x="0" y="289766"/>
                </a:lnTo>
                <a:cubicBezTo>
                  <a:pt x="0" y="129733"/>
                  <a:pt x="129733" y="0"/>
                  <a:pt x="289766" y="0"/>
                </a:cubicBezTo>
                <a:close/>
              </a:path>
            </a:pathLst>
          </a:custGeom>
          <a:solidFill>
            <a:srgbClr val="2B2B6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0]!D" textlink="">
        <xdr:nvSpPr>
          <xdr:cNvPr id="41" name="Texto D">
            <a:extLst>
              <a:ext uri="{FF2B5EF4-FFF2-40B4-BE49-F238E27FC236}">
                <a16:creationId xmlns:a16="http://schemas.microsoft.com/office/drawing/2014/main" id="{00000000-0008-0000-0900-000029000000}"/>
              </a:ext>
            </a:extLst>
          </xdr:cNvPr>
          <xdr:cNvSpPr txBox="1"/>
        </xdr:nvSpPr>
        <xdr:spPr>
          <a:xfrm>
            <a:off x="3753970"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solidFill>
                <a:effectLst/>
                <a:latin typeface="PT Sans Narrow" panose="020B0506020203020204" pitchFamily="34" charset="0"/>
                <a:ea typeface="+mn-ea"/>
                <a:cs typeface="+mn-cs"/>
              </a:rPr>
              <a:t>DIMENSIONAMIENTO</a:t>
            </a:r>
            <a:endParaRPr lang="es-CO" sz="1400" b="1">
              <a:solidFill>
                <a:schemeClr val="bg1"/>
              </a:solidFill>
              <a:latin typeface="PT Sans Narrow" panose="020B0506020203020204" pitchFamily="34" charset="0"/>
            </a:endParaRPr>
          </a:p>
        </xdr:txBody>
      </xdr:sp>
    </xdr:grpSp>
    <xdr:clientData/>
  </xdr:twoCellAnchor>
  <xdr:twoCellAnchor editAs="absolute">
    <xdr:from>
      <xdr:col>12</xdr:col>
      <xdr:colOff>467373</xdr:colOff>
      <xdr:row>0</xdr:row>
      <xdr:rowOff>24976</xdr:rowOff>
    </xdr:from>
    <xdr:to>
      <xdr:col>15</xdr:col>
      <xdr:colOff>9300</xdr:colOff>
      <xdr:row>5</xdr:row>
      <xdr:rowOff>33618</xdr:rowOff>
    </xdr:to>
    <xdr:grpSp>
      <xdr:nvGrpSpPr>
        <xdr:cNvPr id="42" name="DDM">
          <a:extLst>
            <a:ext uri="{FF2B5EF4-FFF2-40B4-BE49-F238E27FC236}">
              <a16:creationId xmlns:a16="http://schemas.microsoft.com/office/drawing/2014/main" id="{00000000-0008-0000-0900-00002A000000}"/>
            </a:ext>
          </a:extLst>
        </xdr:cNvPr>
        <xdr:cNvGrpSpPr>
          <a:grpSpLocks noChangeAspect="1"/>
        </xdr:cNvGrpSpPr>
      </xdr:nvGrpSpPr>
      <xdr:grpSpPr>
        <a:xfrm>
          <a:off x="9611373" y="24976"/>
          <a:ext cx="1827927" cy="961142"/>
          <a:chOff x="9613278" y="21166"/>
          <a:chExt cx="1827927" cy="964952"/>
        </a:xfrm>
      </xdr:grpSpPr>
      <xdr:sp macro="" textlink="">
        <xdr:nvSpPr>
          <xdr:cNvPr id="7" name="Pestaña DDM">
            <a:extLst>
              <a:ext uri="{FF2B5EF4-FFF2-40B4-BE49-F238E27FC236}">
                <a16:creationId xmlns:a16="http://schemas.microsoft.com/office/drawing/2014/main" id="{00000000-0008-0000-0900-000007000000}"/>
              </a:ext>
            </a:extLst>
          </xdr:cNvPr>
          <xdr:cNvSpPr/>
        </xdr:nvSpPr>
        <xdr:spPr>
          <a:xfrm flipH="1">
            <a:off x="9613278" y="21166"/>
            <a:ext cx="1810800" cy="964952"/>
          </a:xfrm>
          <a:custGeom>
            <a:avLst/>
            <a:gdLst>
              <a:gd name="connsiteX0" fmla="*/ 289766 w 1739654"/>
              <a:gd name="connsiteY0" fmla="*/ 0 h 857912"/>
              <a:gd name="connsiteX1" fmla="*/ 1153172 w 1739654"/>
              <a:gd name="connsiteY1" fmla="*/ 0 h 857912"/>
              <a:gd name="connsiteX2" fmla="*/ 1171726 w 1739654"/>
              <a:gd name="connsiteY2" fmla="*/ 1871 h 857912"/>
              <a:gd name="connsiteX3" fmla="*/ 1448928 w 1739654"/>
              <a:gd name="connsiteY3" fmla="*/ 279073 h 857912"/>
              <a:gd name="connsiteX4" fmla="*/ 1449888 w 1739654"/>
              <a:gd name="connsiteY4" fmla="*/ 288599 h 857912"/>
              <a:gd name="connsiteX5" fmla="*/ 1449888 w 1739654"/>
              <a:gd name="connsiteY5" fmla="*/ 568146 h 857912"/>
              <a:gd name="connsiteX6" fmla="*/ 1739654 w 1739654"/>
              <a:gd name="connsiteY6" fmla="*/ 857912 h 857912"/>
              <a:gd name="connsiteX7" fmla="*/ 352308 w 1739654"/>
              <a:gd name="connsiteY7" fmla="*/ 857912 h 857912"/>
              <a:gd name="connsiteX8" fmla="*/ 0 w 1739654"/>
              <a:gd name="connsiteY8" fmla="*/ 857912 h 857912"/>
              <a:gd name="connsiteX9" fmla="*/ 0 w 1739654"/>
              <a:gd name="connsiteY9" fmla="*/ 289766 h 857912"/>
              <a:gd name="connsiteX10" fmla="*/ 289766 w 1739654"/>
              <a:gd name="connsiteY10" fmla="*/ 0 h 857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39654" h="857912">
                <a:moveTo>
                  <a:pt x="289766" y="0"/>
                </a:moveTo>
                <a:lnTo>
                  <a:pt x="1153172" y="0"/>
                </a:lnTo>
                <a:lnTo>
                  <a:pt x="1171726" y="1871"/>
                </a:lnTo>
                <a:cubicBezTo>
                  <a:pt x="1310865" y="30343"/>
                  <a:pt x="1420456" y="139933"/>
                  <a:pt x="1448928" y="279073"/>
                </a:cubicBezTo>
                <a:lnTo>
                  <a:pt x="1449888" y="288599"/>
                </a:lnTo>
                <a:lnTo>
                  <a:pt x="1449888" y="568146"/>
                </a:lnTo>
                <a:cubicBezTo>
                  <a:pt x="1449888" y="728179"/>
                  <a:pt x="1579621" y="857912"/>
                  <a:pt x="1739654" y="857912"/>
                </a:cubicBezTo>
                <a:lnTo>
                  <a:pt x="352308" y="857912"/>
                </a:lnTo>
                <a:lnTo>
                  <a:pt x="0" y="857912"/>
                </a:lnTo>
                <a:lnTo>
                  <a:pt x="0" y="289766"/>
                </a:lnTo>
                <a:cubicBezTo>
                  <a:pt x="0" y="129733"/>
                  <a:pt x="129733" y="0"/>
                  <a:pt x="289766" y="0"/>
                </a:cubicBezTo>
                <a:close/>
              </a:path>
            </a:pathLst>
          </a:cu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2" name="Texto DDM">
            <a:extLst>
              <a:ext uri="{FF2B5EF4-FFF2-40B4-BE49-F238E27FC236}">
                <a16:creationId xmlns:a16="http://schemas.microsoft.com/office/drawing/2014/main" id="{00000000-0008-0000-0900-00000C000000}"/>
              </a:ext>
            </a:extLst>
          </xdr:cNvPr>
          <xdr:cNvSpPr txBox="1"/>
        </xdr:nvSpPr>
        <xdr:spPr>
          <a:xfrm>
            <a:off x="9872382" y="106456"/>
            <a:ext cx="1568823" cy="818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rgbClr val="00B050"/>
                </a:solidFill>
                <a:effectLst/>
                <a:latin typeface="PT Sans Narrow" panose="020B0506020203020204" pitchFamily="34" charset="0"/>
                <a:ea typeface="+mn-ea"/>
                <a:cs typeface="+mn-cs"/>
              </a:rPr>
              <a:t>DESPIECE</a:t>
            </a:r>
            <a:endParaRPr lang="es-CO" sz="1400" b="1" i="0" baseline="0">
              <a:solidFill>
                <a:srgbClr val="00B050"/>
              </a:solidFill>
              <a:effectLst/>
              <a:latin typeface="PT Sans Narrow" panose="020B0506020203020204" pitchFamily="34" charset="0"/>
              <a:ea typeface="+mn-ea"/>
              <a:cs typeface="+mn-cs"/>
            </a:endParaRPr>
          </a:p>
          <a:p>
            <a:pPr algn="ctr"/>
            <a:r>
              <a:rPr lang="es-CO" sz="1400" b="1" i="0" baseline="0">
                <a:solidFill>
                  <a:srgbClr val="00B050"/>
                </a:solidFill>
                <a:effectLst/>
                <a:latin typeface="PT Sans Narrow" panose="020B0506020203020204" pitchFamily="34" charset="0"/>
                <a:ea typeface="+mn-ea"/>
                <a:cs typeface="+mn-cs"/>
              </a:rPr>
              <a:t>DE</a:t>
            </a:r>
          </a:p>
          <a:p>
            <a:pPr algn="ctr"/>
            <a:r>
              <a:rPr lang="es-CO" sz="1400" b="1" i="0" baseline="0">
                <a:solidFill>
                  <a:srgbClr val="00B050"/>
                </a:solidFill>
                <a:effectLst/>
                <a:latin typeface="PT Sans Narrow" panose="020B0506020203020204" pitchFamily="34" charset="0"/>
                <a:ea typeface="+mn-ea"/>
                <a:cs typeface="+mn-cs"/>
              </a:rPr>
              <a:t>MATERIAL</a:t>
            </a:r>
            <a:endParaRPr lang="es-CO" sz="1400" b="1">
              <a:solidFill>
                <a:srgbClr val="00B050"/>
              </a:solidFill>
              <a:latin typeface="PT Sans Narrow" panose="020B0506020203020204" pitchFamily="34" charset="0"/>
            </a:endParaRPr>
          </a:p>
        </xdr:txBody>
      </xdr:sp>
    </xdr:grpSp>
    <xdr:clientData/>
  </xdr:twoCellAnchor>
  <xdr:twoCellAnchor editAs="absolute">
    <xdr:from>
      <xdr:col>17</xdr:col>
      <xdr:colOff>35719</xdr:colOff>
      <xdr:row>44</xdr:row>
      <xdr:rowOff>144775</xdr:rowOff>
    </xdr:from>
    <xdr:to>
      <xdr:col>17</xdr:col>
      <xdr:colOff>980406</xdr:colOff>
      <xdr:row>51</xdr:row>
      <xdr:rowOff>7437</xdr:rowOff>
    </xdr:to>
    <xdr:grpSp>
      <xdr:nvGrpSpPr>
        <xdr:cNvPr id="19" name="Boton Datos de Proy Up">
          <a:extLst>
            <a:ext uri="{FF2B5EF4-FFF2-40B4-BE49-F238E27FC236}">
              <a16:creationId xmlns:a16="http://schemas.microsoft.com/office/drawing/2014/main" id="{00000000-0008-0000-0900-000013000000}"/>
            </a:ext>
          </a:extLst>
        </xdr:cNvPr>
        <xdr:cNvGrpSpPr>
          <a:grpSpLocks noChangeAspect="1"/>
        </xdr:cNvGrpSpPr>
      </xdr:nvGrpSpPr>
      <xdr:grpSpPr>
        <a:xfrm>
          <a:off x="12989719" y="8526775"/>
          <a:ext cx="944687" cy="1196162"/>
          <a:chOff x="1725407" y="1124918"/>
          <a:chExt cx="1048614" cy="1520915"/>
        </a:xfrm>
      </xdr:grpSpPr>
      <xdr:sp macro="[0]!Volver_Datos_Proy" textlink="">
        <xdr:nvSpPr>
          <xdr:cNvPr id="22" name="Octágono 21">
            <a:extLst>
              <a:ext uri="{FF2B5EF4-FFF2-40B4-BE49-F238E27FC236}">
                <a16:creationId xmlns:a16="http://schemas.microsoft.com/office/drawing/2014/main" id="{00000000-0008-0000-0900-000016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Volver_Datos_Proy" textlink="">
        <xdr:nvSpPr>
          <xdr:cNvPr id="23" name="CuadroTexto 22">
            <a:extLst>
              <a:ext uri="{FF2B5EF4-FFF2-40B4-BE49-F238E27FC236}">
                <a16:creationId xmlns:a16="http://schemas.microsoft.com/office/drawing/2014/main" id="{00000000-0008-0000-0900-000017000000}"/>
              </a:ext>
            </a:extLst>
          </xdr:cNvPr>
          <xdr:cNvSpPr txBox="1"/>
        </xdr:nvSpPr>
        <xdr:spPr>
          <a:xfrm>
            <a:off x="1725407" y="1124918"/>
            <a:ext cx="1048614" cy="1021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DATOS DE PROYECTO</a:t>
            </a:r>
          </a:p>
        </xdr:txBody>
      </xdr:sp>
      <xdr:pic macro="[0]!Volver_Datos_Proy">
        <xdr:nvPicPr>
          <xdr:cNvPr id="24" name="Imagen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2</xdr:colOff>
      <xdr:row>27</xdr:row>
      <xdr:rowOff>99219</xdr:rowOff>
    </xdr:from>
    <xdr:to>
      <xdr:col>7</xdr:col>
      <xdr:colOff>1074577</xdr:colOff>
      <xdr:row>40</xdr:row>
      <xdr:rowOff>130053</xdr:rowOff>
    </xdr:to>
    <xdr:pic>
      <xdr:nvPicPr>
        <xdr:cNvPr id="24" name="Imagen 23">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50471" y="4236641"/>
          <a:ext cx="3604653" cy="19656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45243</xdr:colOff>
      <xdr:row>0</xdr:row>
      <xdr:rowOff>38893</xdr:rowOff>
    </xdr:from>
    <xdr:to>
      <xdr:col>2</xdr:col>
      <xdr:colOff>606424</xdr:colOff>
      <xdr:row>2</xdr:row>
      <xdr:rowOff>184137</xdr:rowOff>
    </xdr:to>
    <xdr:pic>
      <xdr:nvPicPr>
        <xdr:cNvPr id="4" name="3 Imagen">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43" y="187721"/>
          <a:ext cx="1424384" cy="52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280988</xdr:colOff>
      <xdr:row>36</xdr:row>
      <xdr:rowOff>88504</xdr:rowOff>
    </xdr:from>
    <xdr:to>
      <xdr:col>7</xdr:col>
      <xdr:colOff>714376</xdr:colOff>
      <xdr:row>37</xdr:row>
      <xdr:rowOff>142082</xdr:rowOff>
    </xdr:to>
    <xdr:sp macro="" textlink="$G$16">
      <xdr:nvSpPr>
        <xdr:cNvPr id="8" name="8 CuadroTexto">
          <a:extLst>
            <a:ext uri="{FF2B5EF4-FFF2-40B4-BE49-F238E27FC236}">
              <a16:creationId xmlns:a16="http://schemas.microsoft.com/office/drawing/2014/main" id="{00000000-0008-0000-0A00-000008000000}"/>
            </a:ext>
          </a:extLst>
        </xdr:cNvPr>
        <xdr:cNvSpPr txBox="1"/>
      </xdr:nvSpPr>
      <xdr:spPr>
        <a:xfrm>
          <a:off x="6561535" y="5565379"/>
          <a:ext cx="433388" cy="202406"/>
        </a:xfrm>
        <a:prstGeom prst="rect">
          <a:avLst/>
        </a:prstGeom>
        <a:solidFill>
          <a:srgbClr val="99BD9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4232C19-D924-40B3-9CAD-6209B1D4631F}" type="TxLink">
            <a:rPr lang="en-US" sz="1000" b="0" i="0" u="none" strike="noStrike">
              <a:solidFill>
                <a:srgbClr val="FF0000"/>
              </a:solidFill>
              <a:latin typeface="Calibri"/>
            </a:rPr>
            <a:pPr algn="ctr"/>
            <a:t>0.0</a:t>
          </a:fld>
          <a:endParaRPr lang="es-CO" sz="1000" b="1">
            <a:solidFill>
              <a:srgbClr val="FF0000"/>
            </a:solidFill>
          </a:endParaRPr>
        </a:p>
      </xdr:txBody>
    </xdr:sp>
    <xdr:clientData/>
  </xdr:twoCellAnchor>
  <xdr:twoCellAnchor>
    <xdr:from>
      <xdr:col>4</xdr:col>
      <xdr:colOff>158750</xdr:colOff>
      <xdr:row>30</xdr:row>
      <xdr:rowOff>6350</xdr:rowOff>
    </xdr:from>
    <xdr:to>
      <xdr:col>4</xdr:col>
      <xdr:colOff>593725</xdr:colOff>
      <xdr:row>31</xdr:row>
      <xdr:rowOff>29766</xdr:rowOff>
    </xdr:to>
    <xdr:sp macro="" textlink="$G$17">
      <xdr:nvSpPr>
        <xdr:cNvPr id="9" name="9 CuadroTexto">
          <a:extLst>
            <a:ext uri="{FF2B5EF4-FFF2-40B4-BE49-F238E27FC236}">
              <a16:creationId xmlns:a16="http://schemas.microsoft.com/office/drawing/2014/main" id="{00000000-0008-0000-0A00-000009000000}"/>
            </a:ext>
          </a:extLst>
        </xdr:cNvPr>
        <xdr:cNvSpPr txBox="1"/>
      </xdr:nvSpPr>
      <xdr:spPr>
        <a:xfrm>
          <a:off x="3909219" y="4590256"/>
          <a:ext cx="434975" cy="172244"/>
        </a:xfrm>
        <a:prstGeom prst="rect">
          <a:avLst/>
        </a:prstGeom>
        <a:solidFill>
          <a:srgbClr val="99BD9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C163B9E-06BA-403B-910B-BD38040F4255}" type="TxLink">
            <a:rPr lang="en-US" sz="1000" b="0" i="0" u="none" strike="noStrike">
              <a:solidFill>
                <a:srgbClr val="FF0000"/>
              </a:solidFill>
              <a:latin typeface="Calibri"/>
            </a:rPr>
            <a:pPr algn="ctr"/>
            <a:t> </a:t>
          </a:fld>
          <a:endParaRPr lang="es-CO" sz="1000" b="1">
            <a:solidFill>
              <a:srgbClr val="FF0000"/>
            </a:solidFill>
          </a:endParaRPr>
        </a:p>
      </xdr:txBody>
    </xdr:sp>
    <xdr:clientData/>
  </xdr:twoCellAnchor>
  <xdr:twoCellAnchor>
    <xdr:from>
      <xdr:col>4</xdr:col>
      <xdr:colOff>933450</xdr:colOff>
      <xdr:row>35</xdr:row>
      <xdr:rowOff>6792</xdr:rowOff>
    </xdr:from>
    <xdr:to>
      <xdr:col>4</xdr:col>
      <xdr:colOff>1343025</xdr:colOff>
      <xdr:row>36</xdr:row>
      <xdr:rowOff>47625</xdr:rowOff>
    </xdr:to>
    <xdr:sp macro="" textlink="">
      <xdr:nvSpPr>
        <xdr:cNvPr id="10" name="10 CuadroTexto">
          <a:extLst>
            <a:ext uri="{FF2B5EF4-FFF2-40B4-BE49-F238E27FC236}">
              <a16:creationId xmlns:a16="http://schemas.microsoft.com/office/drawing/2014/main" id="{00000000-0008-0000-0A00-00000A000000}"/>
            </a:ext>
          </a:extLst>
        </xdr:cNvPr>
        <xdr:cNvSpPr txBox="1"/>
      </xdr:nvSpPr>
      <xdr:spPr>
        <a:xfrm>
          <a:off x="4638675" y="5483667"/>
          <a:ext cx="0" cy="193233"/>
        </a:xfrm>
        <a:prstGeom prst="rect">
          <a:avLst/>
        </a:prstGeom>
        <a:solidFill>
          <a:srgbClr val="99BD9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600" b="1">
              <a:solidFill>
                <a:srgbClr val="FF0000"/>
              </a:solidFill>
            </a:rPr>
            <a:t>20.0</a:t>
          </a:r>
        </a:p>
      </xdr:txBody>
    </xdr:sp>
    <xdr:clientData/>
  </xdr:twoCellAnchor>
  <xdr:twoCellAnchor>
    <xdr:from>
      <xdr:col>4</xdr:col>
      <xdr:colOff>573484</xdr:colOff>
      <xdr:row>34</xdr:row>
      <xdr:rowOff>69850</xdr:rowOff>
    </xdr:from>
    <xdr:to>
      <xdr:col>5</xdr:col>
      <xdr:colOff>125808</xdr:colOff>
      <xdr:row>35</xdr:row>
      <xdr:rowOff>137716</xdr:rowOff>
    </xdr:to>
    <xdr:sp macro="" textlink="$G$15">
      <xdr:nvSpPr>
        <xdr:cNvPr id="11" name="11 CuadroTexto">
          <a:extLst>
            <a:ext uri="{FF2B5EF4-FFF2-40B4-BE49-F238E27FC236}">
              <a16:creationId xmlns:a16="http://schemas.microsoft.com/office/drawing/2014/main" id="{00000000-0008-0000-0A00-00000B000000}"/>
            </a:ext>
          </a:extLst>
        </xdr:cNvPr>
        <xdr:cNvSpPr txBox="1"/>
      </xdr:nvSpPr>
      <xdr:spPr>
        <a:xfrm>
          <a:off x="4323953" y="5249069"/>
          <a:ext cx="435371" cy="216694"/>
        </a:xfrm>
        <a:prstGeom prst="rect">
          <a:avLst/>
        </a:prstGeom>
        <a:solidFill>
          <a:srgbClr val="99BD9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A7A25DFD-F040-42CB-9E93-1FA771A3710D}" type="TxLink">
            <a:rPr lang="en-US" sz="1000" b="0" i="0" u="none" strike="noStrike">
              <a:solidFill>
                <a:srgbClr val="FF0000"/>
              </a:solidFill>
              <a:latin typeface="Calibri"/>
            </a:rPr>
            <a:pPr algn="ctr"/>
            <a:t>0.0</a:t>
          </a:fld>
          <a:endParaRPr lang="es-CO" sz="1000" b="1">
            <a:solidFill>
              <a:srgbClr val="FF0000"/>
            </a:solidFill>
          </a:endParaRPr>
        </a:p>
      </xdr:txBody>
    </xdr:sp>
    <xdr:clientData/>
  </xdr:twoCellAnchor>
  <xdr:twoCellAnchor editAs="oneCell">
    <xdr:from>
      <xdr:col>6</xdr:col>
      <xdr:colOff>294805</xdr:colOff>
      <xdr:row>0</xdr:row>
      <xdr:rowOff>9922</xdr:rowOff>
    </xdr:from>
    <xdr:to>
      <xdr:col>7</xdr:col>
      <xdr:colOff>527108</xdr:colOff>
      <xdr:row>3</xdr:row>
      <xdr:rowOff>17860</xdr:rowOff>
    </xdr:to>
    <xdr:pic>
      <xdr:nvPicPr>
        <xdr:cNvPr id="12" name="Imagen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9868" b="93202" l="3418" r="89941">
                      <a14:foregroundMark x1="21484" y1="53289" x2="21484" y2="53289"/>
                      <a14:foregroundMark x1="29688" y1="43202" x2="29688" y2="43202"/>
                      <a14:foregroundMark x1="40820" y1="47588" x2="40820" y2="47588"/>
                      <a14:foregroundMark x1="40527" y1="33333" x2="40527" y2="33333"/>
                      <a14:foregroundMark x1="50684" y1="48246" x2="50684" y2="48246"/>
                      <a14:foregroundMark x1="16895" y1="45395" x2="16895" y2="45395"/>
                      <a14:backgroundMark x1="83789" y1="52632" x2="83789" y2="52632"/>
                      <a14:backgroundMark x1="84375" y1="39035" x2="84375" y2="39035"/>
                    </a14:backgroundRemoval>
                  </a14:imgEffect>
                </a14:imgLayer>
              </a14:imgProps>
            </a:ext>
            <a:ext uri="{28A0092B-C50C-407E-A947-70E740481C1C}">
              <a14:useLocalDpi xmlns:a14="http://schemas.microsoft.com/office/drawing/2010/main" val="0"/>
            </a:ext>
          </a:extLst>
        </a:blip>
        <a:stretch>
          <a:fillRect/>
        </a:stretch>
      </xdr:blipFill>
      <xdr:spPr>
        <a:xfrm>
          <a:off x="5563321" y="9922"/>
          <a:ext cx="1244334" cy="573485"/>
        </a:xfrm>
        <a:prstGeom prst="rect">
          <a:avLst/>
        </a:prstGeom>
      </xdr:spPr>
    </xdr:pic>
    <xdr:clientData/>
  </xdr:twoCellAnchor>
  <xdr:twoCellAnchor editAs="oneCell">
    <xdr:from>
      <xdr:col>3</xdr:col>
      <xdr:colOff>1644891</xdr:colOff>
      <xdr:row>0</xdr:row>
      <xdr:rowOff>3969</xdr:rowOff>
    </xdr:from>
    <xdr:to>
      <xdr:col>4</xdr:col>
      <xdr:colOff>570310</xdr:colOff>
      <xdr:row>3</xdr:row>
      <xdr:rowOff>20241</xdr:rowOff>
    </xdr:to>
    <xdr:pic>
      <xdr:nvPicPr>
        <xdr:cNvPr id="17" name="Imagen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8602" b="89785" l="6034" r="95070">
                      <a14:foregroundMark x1="9639" y1="24059" x2="9639" y2="24059"/>
                      <a14:foregroundMark x1="10596" y1="33468" x2="10596" y2="39919"/>
                      <a14:foregroundMark x1="10375" y1="33468" x2="23767" y2="20565"/>
                      <a14:foregroundMark x1="27226" y1="40323" x2="37601" y2="24866"/>
                      <a14:foregroundMark x1="46284" y1="33468" x2="48859" y2="42876"/>
                      <a14:foregroundMark x1="49080" y1="39382" x2="56586" y2="13306"/>
                      <a14:foregroundMark x1="57322" y1="11962" x2="58499" y2="9812"/>
                      <a14:foregroundMark x1="60559" y1="36425" x2="60118" y2="21909"/>
                      <a14:foregroundMark x1="76968" y1="36828" x2="76748" y2="20565"/>
                      <a14:foregroundMark x1="78146" y1="20968" x2="85946" y2="18011"/>
                      <a14:foregroundMark x1="88742" y1="25672" x2="88742" y2="37231"/>
                    </a14:backgroundRemoval>
                  </a14:imgEffect>
                </a14:imgLayer>
              </a14:imgProps>
            </a:ext>
          </a:extLst>
        </a:blip>
        <a:stretch>
          <a:fillRect/>
        </a:stretch>
      </xdr:blipFill>
      <xdr:spPr>
        <a:xfrm>
          <a:off x="3291922" y="152797"/>
          <a:ext cx="1028857" cy="581819"/>
        </a:xfrm>
        <a:prstGeom prst="rect">
          <a:avLst/>
        </a:prstGeom>
      </xdr:spPr>
    </xdr:pic>
    <xdr:clientData/>
  </xdr:twoCellAnchor>
  <xdr:twoCellAnchor>
    <xdr:from>
      <xdr:col>6</xdr:col>
      <xdr:colOff>676275</xdr:colOff>
      <xdr:row>2</xdr:row>
      <xdr:rowOff>180974</xdr:rowOff>
    </xdr:from>
    <xdr:to>
      <xdr:col>9</xdr:col>
      <xdr:colOff>4234</xdr:colOff>
      <xdr:row>5</xdr:row>
      <xdr:rowOff>4232</xdr:rowOff>
    </xdr:to>
    <xdr:sp macro="" textlink="">
      <xdr:nvSpPr>
        <xdr:cNvPr id="28" name="Marcador de texto 2">
          <a:extLst>
            <a:ext uri="{FF2B5EF4-FFF2-40B4-BE49-F238E27FC236}">
              <a16:creationId xmlns:a16="http://schemas.microsoft.com/office/drawing/2014/main" id="{00000000-0008-0000-0A00-00001C000000}"/>
            </a:ext>
          </a:extLst>
        </xdr:cNvPr>
        <xdr:cNvSpPr>
          <a:spLocks noGrp="1"/>
        </xdr:cNvSpPr>
      </xdr:nvSpPr>
      <xdr:spPr>
        <a:xfrm rot="10800000" flipH="1">
          <a:off x="5953125" y="676274"/>
          <a:ext cx="1604434" cy="394758"/>
        </a:xfrm>
        <a:prstGeom prst="rect">
          <a:avLst/>
        </a:prstGeom>
        <a:blipFill>
          <a:blip xmlns:r="http://schemas.openxmlformats.org/officeDocument/2006/relationships" r:embed="rId7"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4</xdr:col>
      <xdr:colOff>600075</xdr:colOff>
      <xdr:row>2</xdr:row>
      <xdr:rowOff>173831</xdr:rowOff>
    </xdr:from>
    <xdr:to>
      <xdr:col>6</xdr:col>
      <xdr:colOff>680509</xdr:colOff>
      <xdr:row>4</xdr:row>
      <xdr:rowOff>187589</xdr:rowOff>
    </xdr:to>
    <xdr:sp macro="" textlink="">
      <xdr:nvSpPr>
        <xdr:cNvPr id="29" name="Marcador de texto 2">
          <a:extLst>
            <a:ext uri="{FF2B5EF4-FFF2-40B4-BE49-F238E27FC236}">
              <a16:creationId xmlns:a16="http://schemas.microsoft.com/office/drawing/2014/main" id="{00000000-0008-0000-0A00-00001D000000}"/>
            </a:ext>
          </a:extLst>
        </xdr:cNvPr>
        <xdr:cNvSpPr>
          <a:spLocks noGrp="1"/>
        </xdr:cNvSpPr>
      </xdr:nvSpPr>
      <xdr:spPr>
        <a:xfrm flipH="1">
          <a:off x="4352925" y="669131"/>
          <a:ext cx="1604434" cy="394758"/>
        </a:xfrm>
        <a:prstGeom prst="rect">
          <a:avLst/>
        </a:prstGeom>
        <a:blipFill>
          <a:blip xmlns:r="http://schemas.openxmlformats.org/officeDocument/2006/relationships" r:embed="rId7"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3</xdr:col>
      <xdr:colOff>1100137</xdr:colOff>
      <xdr:row>2</xdr:row>
      <xdr:rowOff>176212</xdr:rowOff>
    </xdr:from>
    <xdr:to>
      <xdr:col>4</xdr:col>
      <xdr:colOff>599546</xdr:colOff>
      <xdr:row>4</xdr:row>
      <xdr:rowOff>189970</xdr:rowOff>
    </xdr:to>
    <xdr:sp macro="" textlink="">
      <xdr:nvSpPr>
        <xdr:cNvPr id="30" name="Marcador de texto 2">
          <a:extLst>
            <a:ext uri="{FF2B5EF4-FFF2-40B4-BE49-F238E27FC236}">
              <a16:creationId xmlns:a16="http://schemas.microsoft.com/office/drawing/2014/main" id="{00000000-0008-0000-0A00-00001E000000}"/>
            </a:ext>
          </a:extLst>
        </xdr:cNvPr>
        <xdr:cNvSpPr>
          <a:spLocks noGrp="1"/>
        </xdr:cNvSpPr>
      </xdr:nvSpPr>
      <xdr:spPr>
        <a:xfrm flipH="1">
          <a:off x="2747962" y="671512"/>
          <a:ext cx="1604434" cy="394758"/>
        </a:xfrm>
        <a:prstGeom prst="rect">
          <a:avLst/>
        </a:prstGeom>
        <a:blipFill>
          <a:blip xmlns:r="http://schemas.openxmlformats.org/officeDocument/2006/relationships" r:embed="rId7"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2</xdr:col>
      <xdr:colOff>276225</xdr:colOff>
      <xdr:row>2</xdr:row>
      <xdr:rowOff>176212</xdr:rowOff>
    </xdr:from>
    <xdr:to>
      <xdr:col>3</xdr:col>
      <xdr:colOff>1099609</xdr:colOff>
      <xdr:row>4</xdr:row>
      <xdr:rowOff>189970</xdr:rowOff>
    </xdr:to>
    <xdr:sp macro="" textlink="">
      <xdr:nvSpPr>
        <xdr:cNvPr id="31" name="Marcador de texto 2">
          <a:extLst>
            <a:ext uri="{FF2B5EF4-FFF2-40B4-BE49-F238E27FC236}">
              <a16:creationId xmlns:a16="http://schemas.microsoft.com/office/drawing/2014/main" id="{00000000-0008-0000-0A00-00001F000000}"/>
            </a:ext>
          </a:extLst>
        </xdr:cNvPr>
        <xdr:cNvSpPr>
          <a:spLocks noGrp="1"/>
        </xdr:cNvSpPr>
      </xdr:nvSpPr>
      <xdr:spPr>
        <a:xfrm flipH="1">
          <a:off x="1143000" y="671512"/>
          <a:ext cx="1604434" cy="394758"/>
        </a:xfrm>
        <a:prstGeom prst="rect">
          <a:avLst/>
        </a:prstGeom>
        <a:blipFill>
          <a:blip xmlns:r="http://schemas.openxmlformats.org/officeDocument/2006/relationships" r:embed="rId7"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0</xdr:col>
      <xdr:colOff>9158</xdr:colOff>
      <xdr:row>2</xdr:row>
      <xdr:rowOff>174016</xdr:rowOff>
    </xdr:from>
    <xdr:to>
      <xdr:col>2</xdr:col>
      <xdr:colOff>274759</xdr:colOff>
      <xdr:row>4</xdr:row>
      <xdr:rowOff>187754</xdr:rowOff>
    </xdr:to>
    <xdr:sp macro="" textlink="">
      <xdr:nvSpPr>
        <xdr:cNvPr id="32" name="Marcador de texto 2">
          <a:extLst>
            <a:ext uri="{FF2B5EF4-FFF2-40B4-BE49-F238E27FC236}">
              <a16:creationId xmlns:a16="http://schemas.microsoft.com/office/drawing/2014/main" id="{00000000-0008-0000-0A00-000020000000}"/>
            </a:ext>
          </a:extLst>
        </xdr:cNvPr>
        <xdr:cNvSpPr>
          <a:spLocks noGrp="1"/>
        </xdr:cNvSpPr>
      </xdr:nvSpPr>
      <xdr:spPr>
        <a:xfrm flipH="1">
          <a:off x="9158" y="668583"/>
          <a:ext cx="1131094" cy="398402"/>
        </a:xfrm>
        <a:prstGeom prst="rect">
          <a:avLst/>
        </a:prstGeom>
        <a:blipFill>
          <a:blip xmlns:r="http://schemas.openxmlformats.org/officeDocument/2006/relationships" r:embed="rId7" cstate="email">
            <a:extLst>
              <a:ext uri="{28A0092B-C50C-407E-A947-70E740481C1C}">
                <a14:useLocalDpi xmlns:a14="http://schemas.microsoft.com/office/drawing/2010/main"/>
              </a:ext>
            </a:extLst>
          </a:blip>
          <a:srcRect/>
          <a:stretch>
            <a:fillRect l="-4684" t="-7" r="-36912" b="-984"/>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oneCell">
    <xdr:from>
      <xdr:col>0</xdr:col>
      <xdr:colOff>36085</xdr:colOff>
      <xdr:row>46</xdr:row>
      <xdr:rowOff>49211</xdr:rowOff>
    </xdr:from>
    <xdr:to>
      <xdr:col>2</xdr:col>
      <xdr:colOff>597266</xdr:colOff>
      <xdr:row>49</xdr:row>
      <xdr:rowOff>5939</xdr:rowOff>
    </xdr:to>
    <xdr:pic>
      <xdr:nvPicPr>
        <xdr:cNvPr id="41" name="3 Imagen">
          <a:extLst>
            <a:ext uri="{FF2B5EF4-FFF2-40B4-BE49-F238E27FC236}">
              <a16:creationId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085" y="7202883"/>
          <a:ext cx="1424384" cy="52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285647</xdr:colOff>
      <xdr:row>46</xdr:row>
      <xdr:rowOff>0</xdr:rowOff>
    </xdr:from>
    <xdr:to>
      <xdr:col>7</xdr:col>
      <xdr:colOff>517950</xdr:colOff>
      <xdr:row>49</xdr:row>
      <xdr:rowOff>7938</xdr:rowOff>
    </xdr:to>
    <xdr:pic>
      <xdr:nvPicPr>
        <xdr:cNvPr id="42" name="Imagen 41">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9868" b="93202" l="3418" r="89941">
                      <a14:foregroundMark x1="21484" y1="53289" x2="21484" y2="53289"/>
                      <a14:foregroundMark x1="29688" y1="43202" x2="29688" y2="43202"/>
                      <a14:foregroundMark x1="40820" y1="47588" x2="40820" y2="47588"/>
                      <a14:foregroundMark x1="40527" y1="33333" x2="40527" y2="33333"/>
                      <a14:foregroundMark x1="50684" y1="48246" x2="50684" y2="48246"/>
                      <a14:foregroundMark x1="16895" y1="45395" x2="16895" y2="45395"/>
                      <a14:backgroundMark x1="83789" y1="52632" x2="83789" y2="52632"/>
                      <a14:backgroundMark x1="84375" y1="39035" x2="84375" y2="39035"/>
                    </a14:backgroundRemoval>
                  </a14:imgEffect>
                </a14:imgLayer>
              </a14:imgProps>
            </a:ext>
            <a:ext uri="{28A0092B-C50C-407E-A947-70E740481C1C}">
              <a14:useLocalDpi xmlns:a14="http://schemas.microsoft.com/office/drawing/2010/main" val="0"/>
            </a:ext>
          </a:extLst>
        </a:blip>
        <a:stretch>
          <a:fillRect/>
        </a:stretch>
      </xdr:blipFill>
      <xdr:spPr>
        <a:xfrm>
          <a:off x="5554163" y="7153672"/>
          <a:ext cx="1244334" cy="573485"/>
        </a:xfrm>
        <a:prstGeom prst="rect">
          <a:avLst/>
        </a:prstGeom>
      </xdr:spPr>
    </xdr:pic>
    <xdr:clientData/>
  </xdr:twoCellAnchor>
  <xdr:twoCellAnchor editAs="oneCell">
    <xdr:from>
      <xdr:col>3</xdr:col>
      <xdr:colOff>1635733</xdr:colOff>
      <xdr:row>46</xdr:row>
      <xdr:rowOff>14287</xdr:rowOff>
    </xdr:from>
    <xdr:to>
      <xdr:col>4</xdr:col>
      <xdr:colOff>561152</xdr:colOff>
      <xdr:row>49</xdr:row>
      <xdr:rowOff>30559</xdr:rowOff>
    </xdr:to>
    <xdr:pic>
      <xdr:nvPicPr>
        <xdr:cNvPr id="43" name="Imagen 42">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8602" b="89785" l="6034" r="95070">
                      <a14:foregroundMark x1="9639" y1="24059" x2="9639" y2="24059"/>
                      <a14:foregroundMark x1="10596" y1="33468" x2="10596" y2="39919"/>
                      <a14:foregroundMark x1="10375" y1="33468" x2="23767" y2="20565"/>
                      <a14:foregroundMark x1="27226" y1="40323" x2="37601" y2="24866"/>
                      <a14:foregroundMark x1="46284" y1="33468" x2="48859" y2="42876"/>
                      <a14:foregroundMark x1="49080" y1="39382" x2="56586" y2="13306"/>
                      <a14:foregroundMark x1="57322" y1="11962" x2="58499" y2="9812"/>
                      <a14:foregroundMark x1="60559" y1="36425" x2="60118" y2="21909"/>
                      <a14:foregroundMark x1="76968" y1="36828" x2="76748" y2="20565"/>
                      <a14:foregroundMark x1="78146" y1="20968" x2="85946" y2="18011"/>
                      <a14:foregroundMark x1="88742" y1="25672" x2="88742" y2="37231"/>
                    </a14:backgroundRemoval>
                  </a14:imgEffect>
                </a14:imgLayer>
              </a14:imgProps>
            </a:ext>
          </a:extLst>
        </a:blip>
        <a:stretch>
          <a:fillRect/>
        </a:stretch>
      </xdr:blipFill>
      <xdr:spPr>
        <a:xfrm>
          <a:off x="3282764" y="7167959"/>
          <a:ext cx="1028857" cy="581819"/>
        </a:xfrm>
        <a:prstGeom prst="rect">
          <a:avLst/>
        </a:prstGeom>
      </xdr:spPr>
    </xdr:pic>
    <xdr:clientData/>
  </xdr:twoCellAnchor>
  <xdr:twoCellAnchor>
    <xdr:from>
      <xdr:col>6</xdr:col>
      <xdr:colOff>667117</xdr:colOff>
      <xdr:row>49</xdr:row>
      <xdr:rowOff>2776</xdr:rowOff>
    </xdr:from>
    <xdr:to>
      <xdr:col>8</xdr:col>
      <xdr:colOff>143904</xdr:colOff>
      <xdr:row>51</xdr:row>
      <xdr:rowOff>14550</xdr:rowOff>
    </xdr:to>
    <xdr:sp macro="" textlink="">
      <xdr:nvSpPr>
        <xdr:cNvPr id="44" name="Marcador de texto 2">
          <a:extLst>
            <a:ext uri="{FF2B5EF4-FFF2-40B4-BE49-F238E27FC236}">
              <a16:creationId xmlns:a16="http://schemas.microsoft.com/office/drawing/2014/main" id="{00000000-0008-0000-0A00-00002C000000}"/>
            </a:ext>
          </a:extLst>
        </xdr:cNvPr>
        <xdr:cNvSpPr>
          <a:spLocks noGrp="1"/>
        </xdr:cNvSpPr>
      </xdr:nvSpPr>
      <xdr:spPr>
        <a:xfrm rot="10800000" flipH="1">
          <a:off x="5935633" y="7721995"/>
          <a:ext cx="1600068" cy="388805"/>
        </a:xfrm>
        <a:prstGeom prst="rect">
          <a:avLst/>
        </a:prstGeom>
        <a:blipFill>
          <a:blip xmlns:r="http://schemas.openxmlformats.org/officeDocument/2006/relationships" r:embed="rId7"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4</xdr:col>
      <xdr:colOff>590917</xdr:colOff>
      <xdr:row>48</xdr:row>
      <xdr:rowOff>184149</xdr:rowOff>
    </xdr:from>
    <xdr:to>
      <xdr:col>6</xdr:col>
      <xdr:colOff>671351</xdr:colOff>
      <xdr:row>51</xdr:row>
      <xdr:rowOff>9392</xdr:rowOff>
    </xdr:to>
    <xdr:sp macro="" textlink="">
      <xdr:nvSpPr>
        <xdr:cNvPr id="45" name="Marcador de texto 2">
          <a:extLst>
            <a:ext uri="{FF2B5EF4-FFF2-40B4-BE49-F238E27FC236}">
              <a16:creationId xmlns:a16="http://schemas.microsoft.com/office/drawing/2014/main" id="{00000000-0008-0000-0A00-00002D000000}"/>
            </a:ext>
          </a:extLst>
        </xdr:cNvPr>
        <xdr:cNvSpPr>
          <a:spLocks noGrp="1"/>
        </xdr:cNvSpPr>
      </xdr:nvSpPr>
      <xdr:spPr>
        <a:xfrm flipH="1">
          <a:off x="4341386" y="7714852"/>
          <a:ext cx="1598481" cy="390790"/>
        </a:xfrm>
        <a:prstGeom prst="rect">
          <a:avLst/>
        </a:prstGeom>
        <a:blipFill>
          <a:blip xmlns:r="http://schemas.openxmlformats.org/officeDocument/2006/relationships" r:embed="rId7"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3</xdr:col>
      <xdr:colOff>1090979</xdr:colOff>
      <xdr:row>48</xdr:row>
      <xdr:rowOff>186530</xdr:rowOff>
    </xdr:from>
    <xdr:to>
      <xdr:col>4</xdr:col>
      <xdr:colOff>590388</xdr:colOff>
      <xdr:row>51</xdr:row>
      <xdr:rowOff>11773</xdr:rowOff>
    </xdr:to>
    <xdr:sp macro="" textlink="">
      <xdr:nvSpPr>
        <xdr:cNvPr id="46" name="Marcador de texto 2">
          <a:extLst>
            <a:ext uri="{FF2B5EF4-FFF2-40B4-BE49-F238E27FC236}">
              <a16:creationId xmlns:a16="http://schemas.microsoft.com/office/drawing/2014/main" id="{00000000-0008-0000-0A00-00002E000000}"/>
            </a:ext>
          </a:extLst>
        </xdr:cNvPr>
        <xdr:cNvSpPr>
          <a:spLocks noGrp="1"/>
        </xdr:cNvSpPr>
      </xdr:nvSpPr>
      <xdr:spPr>
        <a:xfrm flipH="1">
          <a:off x="2738010" y="7717233"/>
          <a:ext cx="1602847" cy="390790"/>
        </a:xfrm>
        <a:prstGeom prst="rect">
          <a:avLst/>
        </a:prstGeom>
        <a:blipFill>
          <a:blip xmlns:r="http://schemas.openxmlformats.org/officeDocument/2006/relationships" r:embed="rId7"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2</xdr:col>
      <xdr:colOff>267067</xdr:colOff>
      <xdr:row>48</xdr:row>
      <xdr:rowOff>186530</xdr:rowOff>
    </xdr:from>
    <xdr:to>
      <xdr:col>3</xdr:col>
      <xdr:colOff>1090451</xdr:colOff>
      <xdr:row>51</xdr:row>
      <xdr:rowOff>11773</xdr:rowOff>
    </xdr:to>
    <xdr:sp macro="" textlink="">
      <xdr:nvSpPr>
        <xdr:cNvPr id="47" name="Marcador de texto 2">
          <a:extLst>
            <a:ext uri="{FF2B5EF4-FFF2-40B4-BE49-F238E27FC236}">
              <a16:creationId xmlns:a16="http://schemas.microsoft.com/office/drawing/2014/main" id="{00000000-0008-0000-0A00-00002F000000}"/>
            </a:ext>
          </a:extLst>
        </xdr:cNvPr>
        <xdr:cNvSpPr>
          <a:spLocks noGrp="1"/>
        </xdr:cNvSpPr>
      </xdr:nvSpPr>
      <xdr:spPr>
        <a:xfrm flipH="1">
          <a:off x="1130270" y="7717233"/>
          <a:ext cx="1607212" cy="390790"/>
        </a:xfrm>
        <a:prstGeom prst="rect">
          <a:avLst/>
        </a:prstGeom>
        <a:blipFill>
          <a:blip xmlns:r="http://schemas.openxmlformats.org/officeDocument/2006/relationships" r:embed="rId7"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0</xdr:col>
      <xdr:colOff>0</xdr:colOff>
      <xdr:row>48</xdr:row>
      <xdr:rowOff>184334</xdr:rowOff>
    </xdr:from>
    <xdr:to>
      <xdr:col>2</xdr:col>
      <xdr:colOff>265601</xdr:colOff>
      <xdr:row>51</xdr:row>
      <xdr:rowOff>9557</xdr:rowOff>
    </xdr:to>
    <xdr:sp macro="" textlink="">
      <xdr:nvSpPr>
        <xdr:cNvPr id="48" name="Marcador de texto 2">
          <a:extLst>
            <a:ext uri="{FF2B5EF4-FFF2-40B4-BE49-F238E27FC236}">
              <a16:creationId xmlns:a16="http://schemas.microsoft.com/office/drawing/2014/main" id="{00000000-0008-0000-0A00-000030000000}"/>
            </a:ext>
          </a:extLst>
        </xdr:cNvPr>
        <xdr:cNvSpPr>
          <a:spLocks noGrp="1"/>
        </xdr:cNvSpPr>
      </xdr:nvSpPr>
      <xdr:spPr>
        <a:xfrm flipH="1">
          <a:off x="0" y="7715037"/>
          <a:ext cx="1128804" cy="390770"/>
        </a:xfrm>
        <a:prstGeom prst="rect">
          <a:avLst/>
        </a:prstGeom>
        <a:blipFill>
          <a:blip xmlns:r="http://schemas.openxmlformats.org/officeDocument/2006/relationships" r:embed="rId7" cstate="email">
            <a:extLst>
              <a:ext uri="{28A0092B-C50C-407E-A947-70E740481C1C}">
                <a14:useLocalDpi xmlns:a14="http://schemas.microsoft.com/office/drawing/2010/main"/>
              </a:ext>
            </a:extLst>
          </a:blip>
          <a:srcRect/>
          <a:stretch>
            <a:fillRect l="-4684" t="-7" r="-36912" b="-984"/>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oneCell">
    <xdr:from>
      <xdr:col>1</xdr:col>
      <xdr:colOff>39687</xdr:colOff>
      <xdr:row>27</xdr:row>
      <xdr:rowOff>99219</xdr:rowOff>
    </xdr:from>
    <xdr:to>
      <xdr:col>3</xdr:col>
      <xdr:colOff>1664890</xdr:colOff>
      <xdr:row>40</xdr:row>
      <xdr:rowOff>128191</xdr:rowOff>
    </xdr:to>
    <xdr:pic>
      <xdr:nvPicPr>
        <xdr:cNvPr id="25" name="Imagen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88515" y="4236641"/>
          <a:ext cx="3123406" cy="196373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128986</xdr:colOff>
      <xdr:row>31</xdr:row>
      <xdr:rowOff>29765</xdr:rowOff>
    </xdr:from>
    <xdr:to>
      <xdr:col>1</xdr:col>
      <xdr:colOff>663574</xdr:colOff>
      <xdr:row>32</xdr:row>
      <xdr:rowOff>128984</xdr:rowOff>
    </xdr:to>
    <xdr:sp macro="" textlink="$G$15">
      <xdr:nvSpPr>
        <xdr:cNvPr id="26" name="11 CuadroTexto">
          <a:extLst>
            <a:ext uri="{FF2B5EF4-FFF2-40B4-BE49-F238E27FC236}">
              <a16:creationId xmlns:a16="http://schemas.microsoft.com/office/drawing/2014/main" id="{00000000-0008-0000-0A00-00001A000000}"/>
            </a:ext>
          </a:extLst>
        </xdr:cNvPr>
        <xdr:cNvSpPr txBox="1"/>
      </xdr:nvSpPr>
      <xdr:spPr>
        <a:xfrm>
          <a:off x="277814" y="4762499"/>
          <a:ext cx="534588" cy="248048"/>
        </a:xfrm>
        <a:prstGeom prst="rect">
          <a:avLst/>
        </a:prstGeom>
        <a:solidFill>
          <a:srgbClr val="99BD9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900" b="1">
              <a:solidFill>
                <a:srgbClr val="FF0000"/>
              </a:solidFill>
            </a:rPr>
            <a:t>0.39 m</a:t>
          </a:r>
        </a:p>
      </xdr:txBody>
    </xdr:sp>
    <xdr:clientData/>
  </xdr:twoCellAnchor>
  <xdr:twoCellAnchor>
    <xdr:from>
      <xdr:col>2</xdr:col>
      <xdr:colOff>39687</xdr:colOff>
      <xdr:row>36</xdr:row>
      <xdr:rowOff>59531</xdr:rowOff>
    </xdr:from>
    <xdr:to>
      <xdr:col>2</xdr:col>
      <xdr:colOff>544510</xdr:colOff>
      <xdr:row>38</xdr:row>
      <xdr:rowOff>9922</xdr:rowOff>
    </xdr:to>
    <xdr:sp macro="" textlink="$G$15">
      <xdr:nvSpPr>
        <xdr:cNvPr id="27" name="11 CuadroTexto">
          <a:extLst>
            <a:ext uri="{FF2B5EF4-FFF2-40B4-BE49-F238E27FC236}">
              <a16:creationId xmlns:a16="http://schemas.microsoft.com/office/drawing/2014/main" id="{00000000-0008-0000-0A00-00001B000000}"/>
            </a:ext>
          </a:extLst>
        </xdr:cNvPr>
        <xdr:cNvSpPr txBox="1"/>
      </xdr:nvSpPr>
      <xdr:spPr>
        <a:xfrm>
          <a:off x="902890" y="5536406"/>
          <a:ext cx="504823" cy="248047"/>
        </a:xfrm>
        <a:prstGeom prst="rect">
          <a:avLst/>
        </a:prstGeom>
        <a:solidFill>
          <a:srgbClr val="99BD9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900" b="1">
              <a:solidFill>
                <a:srgbClr val="FF0000"/>
              </a:solidFill>
            </a:rPr>
            <a:t>1.0 m</a:t>
          </a:r>
        </a:p>
      </xdr:txBody>
    </xdr:sp>
    <xdr:clientData/>
  </xdr:twoCellAnchor>
  <xdr:twoCellAnchor>
    <xdr:from>
      <xdr:col>3</xdr:col>
      <xdr:colOff>1071562</xdr:colOff>
      <xdr:row>37</xdr:row>
      <xdr:rowOff>131631</xdr:rowOff>
    </xdr:from>
    <xdr:to>
      <xdr:col>3</xdr:col>
      <xdr:colOff>1536697</xdr:colOff>
      <xdr:row>39</xdr:row>
      <xdr:rowOff>3308</xdr:rowOff>
    </xdr:to>
    <xdr:sp macro="" textlink="$G$15">
      <xdr:nvSpPr>
        <xdr:cNvPr id="33" name="11 CuadroTexto">
          <a:extLst>
            <a:ext uri="{FF2B5EF4-FFF2-40B4-BE49-F238E27FC236}">
              <a16:creationId xmlns:a16="http://schemas.microsoft.com/office/drawing/2014/main" id="{00000000-0008-0000-0A00-000021000000}"/>
            </a:ext>
          </a:extLst>
        </xdr:cNvPr>
        <xdr:cNvSpPr txBox="1"/>
      </xdr:nvSpPr>
      <xdr:spPr>
        <a:xfrm>
          <a:off x="2722562" y="5783131"/>
          <a:ext cx="465135" cy="168010"/>
        </a:xfrm>
        <a:prstGeom prst="rect">
          <a:avLst/>
        </a:prstGeom>
        <a:solidFill>
          <a:srgbClr val="99BD9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b="1">
              <a:solidFill>
                <a:srgbClr val="FF0000"/>
              </a:solidFill>
            </a:rPr>
            <a:t>0.5 m</a:t>
          </a:r>
        </a:p>
      </xdr:txBody>
    </xdr:sp>
    <xdr:clientData/>
  </xdr:twoCellAnchor>
  <xdr:twoCellAnchor>
    <xdr:from>
      <xdr:col>10</xdr:col>
      <xdr:colOff>123825</xdr:colOff>
      <xdr:row>1</xdr:row>
      <xdr:rowOff>9525</xdr:rowOff>
    </xdr:from>
    <xdr:to>
      <xdr:col>11</xdr:col>
      <xdr:colOff>123632</xdr:colOff>
      <xdr:row>7</xdr:row>
      <xdr:rowOff>142697</xdr:rowOff>
    </xdr:to>
    <xdr:grpSp>
      <xdr:nvGrpSpPr>
        <xdr:cNvPr id="34" name="Boton Datos de Proy Up">
          <a:extLst>
            <a:ext uri="{FF2B5EF4-FFF2-40B4-BE49-F238E27FC236}">
              <a16:creationId xmlns:a16="http://schemas.microsoft.com/office/drawing/2014/main" id="{00000000-0008-0000-0A00-000022000000}"/>
            </a:ext>
          </a:extLst>
        </xdr:cNvPr>
        <xdr:cNvGrpSpPr/>
      </xdr:nvGrpSpPr>
      <xdr:grpSpPr>
        <a:xfrm>
          <a:off x="8114242" y="200025"/>
          <a:ext cx="941723" cy="1191505"/>
          <a:chOff x="1725407" y="1124918"/>
          <a:chExt cx="1048614" cy="1520915"/>
        </a:xfrm>
      </xdr:grpSpPr>
      <xdr:sp macro="[0]!DDM" textlink="">
        <xdr:nvSpPr>
          <xdr:cNvPr id="35" name="Octágono 34">
            <a:extLst>
              <a:ext uri="{FF2B5EF4-FFF2-40B4-BE49-F238E27FC236}">
                <a16:creationId xmlns:a16="http://schemas.microsoft.com/office/drawing/2014/main" id="{00000000-0008-0000-0A00-000023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DDM" textlink="">
        <xdr:nvSpPr>
          <xdr:cNvPr id="36" name="CuadroTexto 35">
            <a:extLst>
              <a:ext uri="{FF2B5EF4-FFF2-40B4-BE49-F238E27FC236}">
                <a16:creationId xmlns:a16="http://schemas.microsoft.com/office/drawing/2014/main" id="{00000000-0008-0000-0A00-000024000000}"/>
              </a:ext>
            </a:extLst>
          </xdr:cNvPr>
          <xdr:cNvSpPr txBox="1"/>
        </xdr:nvSpPr>
        <xdr:spPr>
          <a:xfrm>
            <a:off x="1725407" y="1124918"/>
            <a:ext cx="1048614" cy="1021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DESPIECE DE MATERIAL</a:t>
            </a:r>
          </a:p>
        </xdr:txBody>
      </xdr:sp>
      <xdr:pic macro="[0]!DDM">
        <xdr:nvPicPr>
          <xdr:cNvPr id="37" name="Imagen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45243</xdr:colOff>
      <xdr:row>0</xdr:row>
      <xdr:rowOff>38893</xdr:rowOff>
    </xdr:from>
    <xdr:to>
      <xdr:col>2</xdr:col>
      <xdr:colOff>606424</xdr:colOff>
      <xdr:row>2</xdr:row>
      <xdr:rowOff>184137</xdr:rowOff>
    </xdr:to>
    <xdr:pic>
      <xdr:nvPicPr>
        <xdr:cNvPr id="3" name="3 Imagen">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243" y="38893"/>
          <a:ext cx="1427956" cy="526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933450</xdr:colOff>
      <xdr:row>35</xdr:row>
      <xdr:rowOff>6792</xdr:rowOff>
    </xdr:from>
    <xdr:to>
      <xdr:col>4</xdr:col>
      <xdr:colOff>1343025</xdr:colOff>
      <xdr:row>36</xdr:row>
      <xdr:rowOff>47625</xdr:rowOff>
    </xdr:to>
    <xdr:sp macro="" textlink="">
      <xdr:nvSpPr>
        <xdr:cNvPr id="6" name="10 CuadroTexto">
          <a:extLst>
            <a:ext uri="{FF2B5EF4-FFF2-40B4-BE49-F238E27FC236}">
              <a16:creationId xmlns:a16="http://schemas.microsoft.com/office/drawing/2014/main" id="{00000000-0008-0000-0B00-000006000000}"/>
            </a:ext>
          </a:extLst>
        </xdr:cNvPr>
        <xdr:cNvSpPr txBox="1"/>
      </xdr:nvSpPr>
      <xdr:spPr>
        <a:xfrm>
          <a:off x="4638675" y="5455092"/>
          <a:ext cx="0" cy="193233"/>
        </a:xfrm>
        <a:prstGeom prst="rect">
          <a:avLst/>
        </a:prstGeom>
        <a:solidFill>
          <a:srgbClr val="99BD9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600" b="1">
              <a:solidFill>
                <a:srgbClr val="FF0000"/>
              </a:solidFill>
            </a:rPr>
            <a:t>20.0</a:t>
          </a:r>
        </a:p>
      </xdr:txBody>
    </xdr:sp>
    <xdr:clientData/>
  </xdr:twoCellAnchor>
  <xdr:twoCellAnchor editAs="oneCell">
    <xdr:from>
      <xdr:col>6</xdr:col>
      <xdr:colOff>294805</xdr:colOff>
      <xdr:row>0</xdr:row>
      <xdr:rowOff>9922</xdr:rowOff>
    </xdr:from>
    <xdr:to>
      <xdr:col>7</xdr:col>
      <xdr:colOff>527108</xdr:colOff>
      <xdr:row>3</xdr:row>
      <xdr:rowOff>17860</xdr:rowOff>
    </xdr:to>
    <xdr:pic>
      <xdr:nvPicPr>
        <xdr:cNvPr id="8" name="Imagen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9868" b="93202" l="3418" r="89941">
                      <a14:foregroundMark x1="21484" y1="53289" x2="21484" y2="53289"/>
                      <a14:foregroundMark x1="29688" y1="43202" x2="29688" y2="43202"/>
                      <a14:foregroundMark x1="40820" y1="47588" x2="40820" y2="47588"/>
                      <a14:foregroundMark x1="40527" y1="33333" x2="40527" y2="33333"/>
                      <a14:foregroundMark x1="50684" y1="48246" x2="50684" y2="48246"/>
                      <a14:foregroundMark x1="16895" y1="45395" x2="16895" y2="45395"/>
                      <a14:backgroundMark x1="83789" y1="52632" x2="83789" y2="52632"/>
                      <a14:backgroundMark x1="84375" y1="39035" x2="84375" y2="39035"/>
                    </a14:backgroundRemoval>
                  </a14:imgEffect>
                </a14:imgLayer>
              </a14:imgProps>
            </a:ext>
            <a:ext uri="{28A0092B-C50C-407E-A947-70E740481C1C}">
              <a14:useLocalDpi xmlns:a14="http://schemas.microsoft.com/office/drawing/2010/main" val="0"/>
            </a:ext>
          </a:extLst>
        </a:blip>
        <a:stretch>
          <a:fillRect/>
        </a:stretch>
      </xdr:blipFill>
      <xdr:spPr>
        <a:xfrm>
          <a:off x="5571655" y="9922"/>
          <a:ext cx="1241953" cy="579438"/>
        </a:xfrm>
        <a:prstGeom prst="rect">
          <a:avLst/>
        </a:prstGeom>
      </xdr:spPr>
    </xdr:pic>
    <xdr:clientData/>
  </xdr:twoCellAnchor>
  <xdr:twoCellAnchor editAs="oneCell">
    <xdr:from>
      <xdr:col>3</xdr:col>
      <xdr:colOff>1644891</xdr:colOff>
      <xdr:row>0</xdr:row>
      <xdr:rowOff>3969</xdr:rowOff>
    </xdr:from>
    <xdr:to>
      <xdr:col>4</xdr:col>
      <xdr:colOff>570310</xdr:colOff>
      <xdr:row>3</xdr:row>
      <xdr:rowOff>20241</xdr:rowOff>
    </xdr:to>
    <xdr:pic>
      <xdr:nvPicPr>
        <xdr:cNvPr id="9" name="Imagen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8602" b="89785" l="6034" r="95070">
                      <a14:foregroundMark x1="9639" y1="24059" x2="9639" y2="24059"/>
                      <a14:foregroundMark x1="10596" y1="33468" x2="10596" y2="39919"/>
                      <a14:foregroundMark x1="10375" y1="33468" x2="23767" y2="20565"/>
                      <a14:foregroundMark x1="27226" y1="40323" x2="37601" y2="24866"/>
                      <a14:foregroundMark x1="46284" y1="33468" x2="48859" y2="42876"/>
                      <a14:foregroundMark x1="49080" y1="39382" x2="56586" y2="13306"/>
                      <a14:foregroundMark x1="57322" y1="11962" x2="58499" y2="9812"/>
                      <a14:foregroundMark x1="60559" y1="36425" x2="60118" y2="21909"/>
                      <a14:foregroundMark x1="76968" y1="36828" x2="76748" y2="20565"/>
                      <a14:foregroundMark x1="78146" y1="20968" x2="85946" y2="18011"/>
                      <a14:foregroundMark x1="88742" y1="25672" x2="88742" y2="37231"/>
                    </a14:backgroundRemoval>
                  </a14:imgEffect>
                </a14:imgLayer>
              </a14:imgProps>
            </a:ext>
          </a:extLst>
        </a:blip>
        <a:stretch>
          <a:fillRect/>
        </a:stretch>
      </xdr:blipFill>
      <xdr:spPr>
        <a:xfrm>
          <a:off x="3292716" y="3969"/>
          <a:ext cx="1030444" cy="587772"/>
        </a:xfrm>
        <a:prstGeom prst="rect">
          <a:avLst/>
        </a:prstGeom>
      </xdr:spPr>
    </xdr:pic>
    <xdr:clientData/>
  </xdr:twoCellAnchor>
  <xdr:twoCellAnchor>
    <xdr:from>
      <xdr:col>6</xdr:col>
      <xdr:colOff>676275</xdr:colOff>
      <xdr:row>2</xdr:row>
      <xdr:rowOff>180974</xdr:rowOff>
    </xdr:from>
    <xdr:to>
      <xdr:col>9</xdr:col>
      <xdr:colOff>4234</xdr:colOff>
      <xdr:row>5</xdr:row>
      <xdr:rowOff>4232</xdr:rowOff>
    </xdr:to>
    <xdr:sp macro="" textlink="">
      <xdr:nvSpPr>
        <xdr:cNvPr id="10" name="Marcador de texto 2">
          <a:extLst>
            <a:ext uri="{FF2B5EF4-FFF2-40B4-BE49-F238E27FC236}">
              <a16:creationId xmlns:a16="http://schemas.microsoft.com/office/drawing/2014/main" id="{00000000-0008-0000-0B00-00000A000000}"/>
            </a:ext>
          </a:extLst>
        </xdr:cNvPr>
        <xdr:cNvSpPr>
          <a:spLocks noGrp="1"/>
        </xdr:cNvSpPr>
      </xdr:nvSpPr>
      <xdr:spPr>
        <a:xfrm rot="10800000" flipH="1">
          <a:off x="5953125" y="561974"/>
          <a:ext cx="1604434" cy="394758"/>
        </a:xfrm>
        <a:prstGeom prst="rect">
          <a:avLst/>
        </a:prstGeom>
        <a:blipFill>
          <a:blip xmlns:r="http://schemas.openxmlformats.org/officeDocument/2006/relationships" r:embed="rId6"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4</xdr:col>
      <xdr:colOff>600075</xdr:colOff>
      <xdr:row>2</xdr:row>
      <xdr:rowOff>173831</xdr:rowOff>
    </xdr:from>
    <xdr:to>
      <xdr:col>6</xdr:col>
      <xdr:colOff>680509</xdr:colOff>
      <xdr:row>4</xdr:row>
      <xdr:rowOff>187589</xdr:rowOff>
    </xdr:to>
    <xdr:sp macro="" textlink="">
      <xdr:nvSpPr>
        <xdr:cNvPr id="11" name="Marcador de texto 2">
          <a:extLst>
            <a:ext uri="{FF2B5EF4-FFF2-40B4-BE49-F238E27FC236}">
              <a16:creationId xmlns:a16="http://schemas.microsoft.com/office/drawing/2014/main" id="{00000000-0008-0000-0B00-00000B000000}"/>
            </a:ext>
          </a:extLst>
        </xdr:cNvPr>
        <xdr:cNvSpPr>
          <a:spLocks noGrp="1"/>
        </xdr:cNvSpPr>
      </xdr:nvSpPr>
      <xdr:spPr>
        <a:xfrm flipH="1">
          <a:off x="4352925" y="554831"/>
          <a:ext cx="1604434" cy="394758"/>
        </a:xfrm>
        <a:prstGeom prst="rect">
          <a:avLst/>
        </a:prstGeom>
        <a:blipFill>
          <a:blip xmlns:r="http://schemas.openxmlformats.org/officeDocument/2006/relationships" r:embed="rId6"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3</xdr:col>
      <xdr:colOff>1100137</xdr:colOff>
      <xdr:row>2</xdr:row>
      <xdr:rowOff>176212</xdr:rowOff>
    </xdr:from>
    <xdr:to>
      <xdr:col>4</xdr:col>
      <xdr:colOff>599546</xdr:colOff>
      <xdr:row>4</xdr:row>
      <xdr:rowOff>189970</xdr:rowOff>
    </xdr:to>
    <xdr:sp macro="" textlink="">
      <xdr:nvSpPr>
        <xdr:cNvPr id="12" name="Marcador de texto 2">
          <a:extLst>
            <a:ext uri="{FF2B5EF4-FFF2-40B4-BE49-F238E27FC236}">
              <a16:creationId xmlns:a16="http://schemas.microsoft.com/office/drawing/2014/main" id="{00000000-0008-0000-0B00-00000C000000}"/>
            </a:ext>
          </a:extLst>
        </xdr:cNvPr>
        <xdr:cNvSpPr>
          <a:spLocks noGrp="1"/>
        </xdr:cNvSpPr>
      </xdr:nvSpPr>
      <xdr:spPr>
        <a:xfrm flipH="1">
          <a:off x="2747962" y="557212"/>
          <a:ext cx="1604434" cy="394758"/>
        </a:xfrm>
        <a:prstGeom prst="rect">
          <a:avLst/>
        </a:prstGeom>
        <a:blipFill>
          <a:blip xmlns:r="http://schemas.openxmlformats.org/officeDocument/2006/relationships" r:embed="rId6"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2</xdr:col>
      <xdr:colOff>276225</xdr:colOff>
      <xdr:row>2</xdr:row>
      <xdr:rowOff>176212</xdr:rowOff>
    </xdr:from>
    <xdr:to>
      <xdr:col>3</xdr:col>
      <xdr:colOff>1099609</xdr:colOff>
      <xdr:row>4</xdr:row>
      <xdr:rowOff>189970</xdr:rowOff>
    </xdr:to>
    <xdr:sp macro="" textlink="">
      <xdr:nvSpPr>
        <xdr:cNvPr id="13" name="Marcador de texto 2">
          <a:extLst>
            <a:ext uri="{FF2B5EF4-FFF2-40B4-BE49-F238E27FC236}">
              <a16:creationId xmlns:a16="http://schemas.microsoft.com/office/drawing/2014/main" id="{00000000-0008-0000-0B00-00000D000000}"/>
            </a:ext>
          </a:extLst>
        </xdr:cNvPr>
        <xdr:cNvSpPr>
          <a:spLocks noGrp="1"/>
        </xdr:cNvSpPr>
      </xdr:nvSpPr>
      <xdr:spPr>
        <a:xfrm flipH="1">
          <a:off x="1143000" y="557212"/>
          <a:ext cx="1604434" cy="394758"/>
        </a:xfrm>
        <a:prstGeom prst="rect">
          <a:avLst/>
        </a:prstGeom>
        <a:blipFill>
          <a:blip xmlns:r="http://schemas.openxmlformats.org/officeDocument/2006/relationships" r:embed="rId6"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0</xdr:col>
      <xdr:colOff>9158</xdr:colOff>
      <xdr:row>2</xdr:row>
      <xdr:rowOff>174016</xdr:rowOff>
    </xdr:from>
    <xdr:to>
      <xdr:col>2</xdr:col>
      <xdr:colOff>274759</xdr:colOff>
      <xdr:row>4</xdr:row>
      <xdr:rowOff>187754</xdr:rowOff>
    </xdr:to>
    <xdr:sp macro="" textlink="">
      <xdr:nvSpPr>
        <xdr:cNvPr id="14" name="Marcador de texto 2">
          <a:extLst>
            <a:ext uri="{FF2B5EF4-FFF2-40B4-BE49-F238E27FC236}">
              <a16:creationId xmlns:a16="http://schemas.microsoft.com/office/drawing/2014/main" id="{00000000-0008-0000-0B00-00000E000000}"/>
            </a:ext>
          </a:extLst>
        </xdr:cNvPr>
        <xdr:cNvSpPr>
          <a:spLocks noGrp="1"/>
        </xdr:cNvSpPr>
      </xdr:nvSpPr>
      <xdr:spPr>
        <a:xfrm flipH="1">
          <a:off x="9158" y="555016"/>
          <a:ext cx="1132376" cy="394738"/>
        </a:xfrm>
        <a:prstGeom prst="rect">
          <a:avLst/>
        </a:prstGeom>
        <a:blipFill>
          <a:blip xmlns:r="http://schemas.openxmlformats.org/officeDocument/2006/relationships" r:embed="rId6" cstate="email">
            <a:extLst>
              <a:ext uri="{28A0092B-C50C-407E-A947-70E740481C1C}">
                <a14:useLocalDpi xmlns:a14="http://schemas.microsoft.com/office/drawing/2010/main"/>
              </a:ext>
            </a:extLst>
          </a:blip>
          <a:srcRect/>
          <a:stretch>
            <a:fillRect l="-4684" t="-7" r="-36912" b="-984"/>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oneCell">
    <xdr:from>
      <xdr:col>0</xdr:col>
      <xdr:colOff>36085</xdr:colOff>
      <xdr:row>46</xdr:row>
      <xdr:rowOff>49211</xdr:rowOff>
    </xdr:from>
    <xdr:to>
      <xdr:col>2</xdr:col>
      <xdr:colOff>597266</xdr:colOff>
      <xdr:row>49</xdr:row>
      <xdr:rowOff>5939</xdr:rowOff>
    </xdr:to>
    <xdr:pic>
      <xdr:nvPicPr>
        <xdr:cNvPr id="15" name="3 Imagen">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85" y="7212011"/>
          <a:ext cx="1427956" cy="528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285647</xdr:colOff>
      <xdr:row>46</xdr:row>
      <xdr:rowOff>0</xdr:rowOff>
    </xdr:from>
    <xdr:to>
      <xdr:col>7</xdr:col>
      <xdr:colOff>517950</xdr:colOff>
      <xdr:row>49</xdr:row>
      <xdr:rowOff>7938</xdr:rowOff>
    </xdr:to>
    <xdr:pic>
      <xdr:nvPicPr>
        <xdr:cNvPr id="16" name="Imagen 15">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backgroundRemoval t="9868" b="93202" l="3418" r="89941">
                      <a14:foregroundMark x1="21484" y1="53289" x2="21484" y2="53289"/>
                      <a14:foregroundMark x1="29688" y1="43202" x2="29688" y2="43202"/>
                      <a14:foregroundMark x1="40820" y1="47588" x2="40820" y2="47588"/>
                      <a14:foregroundMark x1="40527" y1="33333" x2="40527" y2="33333"/>
                      <a14:foregroundMark x1="50684" y1="48246" x2="50684" y2="48246"/>
                      <a14:foregroundMark x1="16895" y1="45395" x2="16895" y2="45395"/>
                      <a14:backgroundMark x1="83789" y1="52632" x2="83789" y2="52632"/>
                      <a14:backgroundMark x1="84375" y1="39035" x2="84375" y2="39035"/>
                    </a14:backgroundRemoval>
                  </a14:imgEffect>
                </a14:imgLayer>
              </a14:imgProps>
            </a:ext>
            <a:ext uri="{28A0092B-C50C-407E-A947-70E740481C1C}">
              <a14:useLocalDpi xmlns:a14="http://schemas.microsoft.com/office/drawing/2010/main" val="0"/>
            </a:ext>
          </a:extLst>
        </a:blip>
        <a:stretch>
          <a:fillRect/>
        </a:stretch>
      </xdr:blipFill>
      <xdr:spPr>
        <a:xfrm>
          <a:off x="5562497" y="7162800"/>
          <a:ext cx="1241953" cy="579438"/>
        </a:xfrm>
        <a:prstGeom prst="rect">
          <a:avLst/>
        </a:prstGeom>
      </xdr:spPr>
    </xdr:pic>
    <xdr:clientData/>
  </xdr:twoCellAnchor>
  <xdr:twoCellAnchor editAs="oneCell">
    <xdr:from>
      <xdr:col>3</xdr:col>
      <xdr:colOff>1635733</xdr:colOff>
      <xdr:row>46</xdr:row>
      <xdr:rowOff>14287</xdr:rowOff>
    </xdr:from>
    <xdr:to>
      <xdr:col>4</xdr:col>
      <xdr:colOff>561152</xdr:colOff>
      <xdr:row>49</xdr:row>
      <xdr:rowOff>30559</xdr:rowOff>
    </xdr:to>
    <xdr:pic>
      <xdr:nvPicPr>
        <xdr:cNvPr id="17" name="Imagen 1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8602" b="89785" l="6034" r="95070">
                      <a14:foregroundMark x1="9639" y1="24059" x2="9639" y2="24059"/>
                      <a14:foregroundMark x1="10596" y1="33468" x2="10596" y2="39919"/>
                      <a14:foregroundMark x1="10375" y1="33468" x2="23767" y2="20565"/>
                      <a14:foregroundMark x1="27226" y1="40323" x2="37601" y2="24866"/>
                      <a14:foregroundMark x1="46284" y1="33468" x2="48859" y2="42876"/>
                      <a14:foregroundMark x1="49080" y1="39382" x2="56586" y2="13306"/>
                      <a14:foregroundMark x1="57322" y1="11962" x2="58499" y2="9812"/>
                      <a14:foregroundMark x1="60559" y1="36425" x2="60118" y2="21909"/>
                      <a14:foregroundMark x1="76968" y1="36828" x2="76748" y2="20565"/>
                      <a14:foregroundMark x1="78146" y1="20968" x2="85946" y2="18011"/>
                      <a14:foregroundMark x1="88742" y1="25672" x2="88742" y2="37231"/>
                    </a14:backgroundRemoval>
                  </a14:imgEffect>
                </a14:imgLayer>
              </a14:imgProps>
            </a:ext>
          </a:extLst>
        </a:blip>
        <a:stretch>
          <a:fillRect/>
        </a:stretch>
      </xdr:blipFill>
      <xdr:spPr>
        <a:xfrm>
          <a:off x="3283558" y="7177087"/>
          <a:ext cx="1030444" cy="587772"/>
        </a:xfrm>
        <a:prstGeom prst="rect">
          <a:avLst/>
        </a:prstGeom>
      </xdr:spPr>
    </xdr:pic>
    <xdr:clientData/>
  </xdr:twoCellAnchor>
  <xdr:twoCellAnchor>
    <xdr:from>
      <xdr:col>6</xdr:col>
      <xdr:colOff>667117</xdr:colOff>
      <xdr:row>49</xdr:row>
      <xdr:rowOff>2776</xdr:rowOff>
    </xdr:from>
    <xdr:to>
      <xdr:col>8</xdr:col>
      <xdr:colOff>143904</xdr:colOff>
      <xdr:row>51</xdr:row>
      <xdr:rowOff>14550</xdr:rowOff>
    </xdr:to>
    <xdr:sp macro="" textlink="">
      <xdr:nvSpPr>
        <xdr:cNvPr id="18" name="Marcador de texto 2">
          <a:extLst>
            <a:ext uri="{FF2B5EF4-FFF2-40B4-BE49-F238E27FC236}">
              <a16:creationId xmlns:a16="http://schemas.microsoft.com/office/drawing/2014/main" id="{00000000-0008-0000-0B00-000012000000}"/>
            </a:ext>
          </a:extLst>
        </xdr:cNvPr>
        <xdr:cNvSpPr>
          <a:spLocks noGrp="1"/>
        </xdr:cNvSpPr>
      </xdr:nvSpPr>
      <xdr:spPr>
        <a:xfrm rot="10800000" flipH="1">
          <a:off x="5943967" y="7737076"/>
          <a:ext cx="1600862" cy="392774"/>
        </a:xfrm>
        <a:prstGeom prst="rect">
          <a:avLst/>
        </a:prstGeom>
        <a:blipFill>
          <a:blip xmlns:r="http://schemas.openxmlformats.org/officeDocument/2006/relationships" r:embed="rId6"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4</xdr:col>
      <xdr:colOff>590917</xdr:colOff>
      <xdr:row>48</xdr:row>
      <xdr:rowOff>184149</xdr:rowOff>
    </xdr:from>
    <xdr:to>
      <xdr:col>6</xdr:col>
      <xdr:colOff>671351</xdr:colOff>
      <xdr:row>51</xdr:row>
      <xdr:rowOff>9392</xdr:rowOff>
    </xdr:to>
    <xdr:sp macro="" textlink="">
      <xdr:nvSpPr>
        <xdr:cNvPr id="19" name="Marcador de texto 2">
          <a:extLst>
            <a:ext uri="{FF2B5EF4-FFF2-40B4-BE49-F238E27FC236}">
              <a16:creationId xmlns:a16="http://schemas.microsoft.com/office/drawing/2014/main" id="{00000000-0008-0000-0B00-000013000000}"/>
            </a:ext>
          </a:extLst>
        </xdr:cNvPr>
        <xdr:cNvSpPr>
          <a:spLocks noGrp="1"/>
        </xdr:cNvSpPr>
      </xdr:nvSpPr>
      <xdr:spPr>
        <a:xfrm flipH="1">
          <a:off x="4343767" y="7727949"/>
          <a:ext cx="1604434" cy="396743"/>
        </a:xfrm>
        <a:prstGeom prst="rect">
          <a:avLst/>
        </a:prstGeom>
        <a:blipFill>
          <a:blip xmlns:r="http://schemas.openxmlformats.org/officeDocument/2006/relationships" r:embed="rId6"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3</xdr:col>
      <xdr:colOff>1090979</xdr:colOff>
      <xdr:row>48</xdr:row>
      <xdr:rowOff>186530</xdr:rowOff>
    </xdr:from>
    <xdr:to>
      <xdr:col>4</xdr:col>
      <xdr:colOff>590388</xdr:colOff>
      <xdr:row>51</xdr:row>
      <xdr:rowOff>11773</xdr:rowOff>
    </xdr:to>
    <xdr:sp macro="" textlink="">
      <xdr:nvSpPr>
        <xdr:cNvPr id="20" name="Marcador de texto 2">
          <a:extLst>
            <a:ext uri="{FF2B5EF4-FFF2-40B4-BE49-F238E27FC236}">
              <a16:creationId xmlns:a16="http://schemas.microsoft.com/office/drawing/2014/main" id="{00000000-0008-0000-0B00-000014000000}"/>
            </a:ext>
          </a:extLst>
        </xdr:cNvPr>
        <xdr:cNvSpPr>
          <a:spLocks noGrp="1"/>
        </xdr:cNvSpPr>
      </xdr:nvSpPr>
      <xdr:spPr>
        <a:xfrm flipH="1">
          <a:off x="2738804" y="7730330"/>
          <a:ext cx="1604434" cy="396743"/>
        </a:xfrm>
        <a:prstGeom prst="rect">
          <a:avLst/>
        </a:prstGeom>
        <a:blipFill>
          <a:blip xmlns:r="http://schemas.openxmlformats.org/officeDocument/2006/relationships" r:embed="rId6"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2</xdr:col>
      <xdr:colOff>267067</xdr:colOff>
      <xdr:row>48</xdr:row>
      <xdr:rowOff>186530</xdr:rowOff>
    </xdr:from>
    <xdr:to>
      <xdr:col>3</xdr:col>
      <xdr:colOff>1090451</xdr:colOff>
      <xdr:row>51</xdr:row>
      <xdr:rowOff>11773</xdr:rowOff>
    </xdr:to>
    <xdr:sp macro="" textlink="">
      <xdr:nvSpPr>
        <xdr:cNvPr id="21" name="Marcador de texto 2">
          <a:extLst>
            <a:ext uri="{FF2B5EF4-FFF2-40B4-BE49-F238E27FC236}">
              <a16:creationId xmlns:a16="http://schemas.microsoft.com/office/drawing/2014/main" id="{00000000-0008-0000-0B00-000015000000}"/>
            </a:ext>
          </a:extLst>
        </xdr:cNvPr>
        <xdr:cNvSpPr>
          <a:spLocks noGrp="1"/>
        </xdr:cNvSpPr>
      </xdr:nvSpPr>
      <xdr:spPr>
        <a:xfrm flipH="1">
          <a:off x="1133842" y="7730330"/>
          <a:ext cx="1604434" cy="396743"/>
        </a:xfrm>
        <a:prstGeom prst="rect">
          <a:avLst/>
        </a:prstGeom>
        <a:blipFill>
          <a:blip xmlns:r="http://schemas.openxmlformats.org/officeDocument/2006/relationships" r:embed="rId6"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0</xdr:col>
      <xdr:colOff>0</xdr:colOff>
      <xdr:row>48</xdr:row>
      <xdr:rowOff>184334</xdr:rowOff>
    </xdr:from>
    <xdr:to>
      <xdr:col>2</xdr:col>
      <xdr:colOff>265601</xdr:colOff>
      <xdr:row>51</xdr:row>
      <xdr:rowOff>9557</xdr:rowOff>
    </xdr:to>
    <xdr:sp macro="" textlink="">
      <xdr:nvSpPr>
        <xdr:cNvPr id="22" name="Marcador de texto 2">
          <a:extLst>
            <a:ext uri="{FF2B5EF4-FFF2-40B4-BE49-F238E27FC236}">
              <a16:creationId xmlns:a16="http://schemas.microsoft.com/office/drawing/2014/main" id="{00000000-0008-0000-0B00-000016000000}"/>
            </a:ext>
          </a:extLst>
        </xdr:cNvPr>
        <xdr:cNvSpPr>
          <a:spLocks noGrp="1"/>
        </xdr:cNvSpPr>
      </xdr:nvSpPr>
      <xdr:spPr>
        <a:xfrm flipH="1">
          <a:off x="0" y="7728134"/>
          <a:ext cx="1132376" cy="396723"/>
        </a:xfrm>
        <a:prstGeom prst="rect">
          <a:avLst/>
        </a:prstGeom>
        <a:blipFill>
          <a:blip xmlns:r="http://schemas.openxmlformats.org/officeDocument/2006/relationships" r:embed="rId6" cstate="email">
            <a:extLst>
              <a:ext uri="{28A0092B-C50C-407E-A947-70E740481C1C}">
                <a14:useLocalDpi xmlns:a14="http://schemas.microsoft.com/office/drawing/2010/main"/>
              </a:ext>
            </a:extLst>
          </a:blip>
          <a:srcRect/>
          <a:stretch>
            <a:fillRect l="-4684" t="-7" r="-36912" b="-984"/>
          </a:stretch>
        </a:blipFill>
        <a:ln w="12700">
          <a:miter lim="400000"/>
        </a:ln>
        <a:extLst>
          <a:ext uri="{C572A759-6A51-4108-AA02-DFA0A04FC94B}">
            <ma14:wrappingTextBoxFlag xmlns:lc="http://schemas.openxmlformats.org/drawingml/2006/lockedCanvas" xmlns:ma14="http://schemas.microsoft.com/office/mac/drawingml/2011/main" xmlns:a14="http://schemas.microsoft.com/office/drawing/2010/main" xmlns:m="http://schemas.openxmlformats.org/officeDocument/2006/math" xmlns="" xmlns:p="http://schemas.openxmlformats.org/presentationml/2006/main" xmlns:r="http://schemas.openxmlformats.org/officeDocument/2006/relationship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10</xdr:col>
      <xdr:colOff>123825</xdr:colOff>
      <xdr:row>1</xdr:row>
      <xdr:rowOff>9525</xdr:rowOff>
    </xdr:from>
    <xdr:to>
      <xdr:col>11</xdr:col>
      <xdr:colOff>123632</xdr:colOff>
      <xdr:row>7</xdr:row>
      <xdr:rowOff>142697</xdr:rowOff>
    </xdr:to>
    <xdr:grpSp>
      <xdr:nvGrpSpPr>
        <xdr:cNvPr id="27" name="Boton Datos de Proy Up">
          <a:extLst>
            <a:ext uri="{FF2B5EF4-FFF2-40B4-BE49-F238E27FC236}">
              <a16:creationId xmlns:a16="http://schemas.microsoft.com/office/drawing/2014/main" id="{00000000-0008-0000-0B00-00001B000000}"/>
            </a:ext>
          </a:extLst>
        </xdr:cNvPr>
        <xdr:cNvGrpSpPr/>
      </xdr:nvGrpSpPr>
      <xdr:grpSpPr>
        <a:xfrm>
          <a:off x="8114242" y="200025"/>
          <a:ext cx="941723" cy="1191505"/>
          <a:chOff x="1725407" y="1124918"/>
          <a:chExt cx="1048614" cy="1520915"/>
        </a:xfrm>
      </xdr:grpSpPr>
      <xdr:sp macro="[0]!DDM" textlink="">
        <xdr:nvSpPr>
          <xdr:cNvPr id="28" name="Octágono 27">
            <a:extLst>
              <a:ext uri="{FF2B5EF4-FFF2-40B4-BE49-F238E27FC236}">
                <a16:creationId xmlns:a16="http://schemas.microsoft.com/office/drawing/2014/main" id="{00000000-0008-0000-0B00-00001C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DDM" textlink="">
        <xdr:nvSpPr>
          <xdr:cNvPr id="29" name="CuadroTexto 28">
            <a:extLst>
              <a:ext uri="{FF2B5EF4-FFF2-40B4-BE49-F238E27FC236}">
                <a16:creationId xmlns:a16="http://schemas.microsoft.com/office/drawing/2014/main" id="{00000000-0008-0000-0B00-00001D000000}"/>
              </a:ext>
            </a:extLst>
          </xdr:cNvPr>
          <xdr:cNvSpPr txBox="1"/>
        </xdr:nvSpPr>
        <xdr:spPr>
          <a:xfrm>
            <a:off x="1725407" y="1124918"/>
            <a:ext cx="1048614" cy="1021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DESPIECE DE MATERIAL</a:t>
            </a:r>
          </a:p>
        </xdr:txBody>
      </xdr:sp>
      <xdr:pic macro="[0]!DDM">
        <xdr:nvPicPr>
          <xdr:cNvPr id="30" name="Imagen 2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twoCellAnchor editAs="oneCell">
    <xdr:from>
      <xdr:col>0</xdr:col>
      <xdr:colOff>148166</xdr:colOff>
      <xdr:row>27</xdr:row>
      <xdr:rowOff>74084</xdr:rowOff>
    </xdr:from>
    <xdr:to>
      <xdr:col>3</xdr:col>
      <xdr:colOff>2026413</xdr:colOff>
      <xdr:row>41</xdr:row>
      <xdr:rowOff>42334</xdr:rowOff>
    </xdr:to>
    <xdr:pic>
      <xdr:nvPicPr>
        <xdr:cNvPr id="25" name="Imagen 24">
          <a:extLst>
            <a:ext uri="{FF2B5EF4-FFF2-40B4-BE49-F238E27FC236}">
              <a16:creationId xmlns:a16="http://schemas.microsoft.com/office/drawing/2014/main" id="{00000000-0008-0000-0B00-000019000000}"/>
            </a:ext>
          </a:extLst>
        </xdr:cNvPr>
        <xdr:cNvPicPr>
          <a:picLocks noChangeAspect="1"/>
        </xdr:cNvPicPr>
      </xdr:nvPicPr>
      <xdr:blipFill rotWithShape="1">
        <a:blip xmlns:r="http://schemas.openxmlformats.org/officeDocument/2006/relationships" r:embed="rId8"/>
        <a:srcRect l="-4056"/>
        <a:stretch/>
      </xdr:blipFill>
      <xdr:spPr>
        <a:xfrm>
          <a:off x="148166" y="4243917"/>
          <a:ext cx="3529247" cy="2042584"/>
        </a:xfrm>
        <a:prstGeom prst="rect">
          <a:avLst/>
        </a:prstGeom>
        <a:ln>
          <a:solidFill>
            <a:sysClr val="windowText" lastClr="000000"/>
          </a:solidFill>
        </a:ln>
      </xdr:spPr>
    </xdr:pic>
    <xdr:clientData/>
  </xdr:twoCellAnchor>
  <xdr:twoCellAnchor>
    <xdr:from>
      <xdr:col>0</xdr:col>
      <xdr:colOff>84666</xdr:colOff>
      <xdr:row>32</xdr:row>
      <xdr:rowOff>74080</xdr:rowOff>
    </xdr:from>
    <xdr:to>
      <xdr:col>1</xdr:col>
      <xdr:colOff>444500</xdr:colOff>
      <xdr:row>34</xdr:row>
      <xdr:rowOff>31748</xdr:rowOff>
    </xdr:to>
    <xdr:sp macro="" textlink="$G$15">
      <xdr:nvSpPr>
        <xdr:cNvPr id="7" name="11 CuadroTexto">
          <a:extLst>
            <a:ext uri="{FF2B5EF4-FFF2-40B4-BE49-F238E27FC236}">
              <a16:creationId xmlns:a16="http://schemas.microsoft.com/office/drawing/2014/main" id="{00000000-0008-0000-0B00-000007000000}"/>
            </a:ext>
          </a:extLst>
        </xdr:cNvPr>
        <xdr:cNvSpPr txBox="1"/>
      </xdr:nvSpPr>
      <xdr:spPr>
        <a:xfrm>
          <a:off x="84666" y="4984747"/>
          <a:ext cx="508001" cy="254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900" b="1">
              <a:solidFill>
                <a:srgbClr val="002060"/>
              </a:solidFill>
            </a:rPr>
            <a:t>0.40</a:t>
          </a:r>
          <a:r>
            <a:rPr lang="es-CO" sz="900" b="1" baseline="0">
              <a:solidFill>
                <a:srgbClr val="002060"/>
              </a:solidFill>
            </a:rPr>
            <a:t> </a:t>
          </a:r>
          <a:r>
            <a:rPr lang="es-CO" sz="900" b="1">
              <a:solidFill>
                <a:srgbClr val="002060"/>
              </a:solidFill>
            </a:rPr>
            <a:t>m</a:t>
          </a:r>
        </a:p>
      </xdr:txBody>
    </xdr:sp>
    <xdr:clientData/>
  </xdr:twoCellAnchor>
  <xdr:twoCellAnchor>
    <xdr:from>
      <xdr:col>1</xdr:col>
      <xdr:colOff>31750</xdr:colOff>
      <xdr:row>37</xdr:row>
      <xdr:rowOff>42333</xdr:rowOff>
    </xdr:from>
    <xdr:to>
      <xdr:col>1</xdr:col>
      <xdr:colOff>550335</xdr:colOff>
      <xdr:row>39</xdr:row>
      <xdr:rowOff>1</xdr:rowOff>
    </xdr:to>
    <xdr:sp macro="" textlink="$G$15">
      <xdr:nvSpPr>
        <xdr:cNvPr id="23" name="11 CuadroTexto">
          <a:extLst>
            <a:ext uri="{FF2B5EF4-FFF2-40B4-BE49-F238E27FC236}">
              <a16:creationId xmlns:a16="http://schemas.microsoft.com/office/drawing/2014/main" id="{00000000-0008-0000-0B00-000017000000}"/>
            </a:ext>
          </a:extLst>
        </xdr:cNvPr>
        <xdr:cNvSpPr txBox="1"/>
      </xdr:nvSpPr>
      <xdr:spPr>
        <a:xfrm>
          <a:off x="179917" y="5693833"/>
          <a:ext cx="518585" cy="254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900" b="1">
              <a:solidFill>
                <a:srgbClr val="002060"/>
              </a:solidFill>
            </a:rPr>
            <a:t>0.60 m</a:t>
          </a:r>
        </a:p>
      </xdr:txBody>
    </xdr:sp>
    <xdr:clientData/>
  </xdr:twoCellAnchor>
  <xdr:twoCellAnchor>
    <xdr:from>
      <xdr:col>3</xdr:col>
      <xdr:colOff>448735</xdr:colOff>
      <xdr:row>38</xdr:row>
      <xdr:rowOff>67732</xdr:rowOff>
    </xdr:from>
    <xdr:to>
      <xdr:col>3</xdr:col>
      <xdr:colOff>1037167</xdr:colOff>
      <xdr:row>40</xdr:row>
      <xdr:rowOff>25400</xdr:rowOff>
    </xdr:to>
    <xdr:sp macro="" textlink="$G$15">
      <xdr:nvSpPr>
        <xdr:cNvPr id="24" name="11 CuadroTexto">
          <a:extLst>
            <a:ext uri="{FF2B5EF4-FFF2-40B4-BE49-F238E27FC236}">
              <a16:creationId xmlns:a16="http://schemas.microsoft.com/office/drawing/2014/main" id="{00000000-0008-0000-0B00-000018000000}"/>
            </a:ext>
          </a:extLst>
        </xdr:cNvPr>
        <xdr:cNvSpPr txBox="1"/>
      </xdr:nvSpPr>
      <xdr:spPr>
        <a:xfrm>
          <a:off x="2099735" y="5867399"/>
          <a:ext cx="588432" cy="254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900" b="1">
              <a:solidFill>
                <a:srgbClr val="002060"/>
              </a:solidFill>
            </a:rPr>
            <a:t>1.20 m</a:t>
          </a:r>
        </a:p>
      </xdr:txBody>
    </xdr:sp>
    <xdr:clientData/>
  </xdr:twoCellAnchor>
  <xdr:twoCellAnchor editAs="oneCell">
    <xdr:from>
      <xdr:col>4</xdr:col>
      <xdr:colOff>84667</xdr:colOff>
      <xdr:row>27</xdr:row>
      <xdr:rowOff>74083</xdr:rowOff>
    </xdr:from>
    <xdr:to>
      <xdr:col>8</xdr:col>
      <xdr:colOff>10583</xdr:colOff>
      <xdr:row>41</xdr:row>
      <xdr:rowOff>40441</xdr:rowOff>
    </xdr:to>
    <xdr:pic>
      <xdr:nvPicPr>
        <xdr:cNvPr id="26" name="Imagen 25">
          <a:extLst>
            <a:ext uri="{FF2B5EF4-FFF2-40B4-BE49-F238E27FC236}">
              <a16:creationId xmlns:a16="http://schemas.microsoft.com/office/drawing/2014/main" id="{00000000-0008-0000-0B00-00001A000000}"/>
            </a:ext>
          </a:extLst>
        </xdr:cNvPr>
        <xdr:cNvPicPr>
          <a:picLocks noChangeAspect="1"/>
        </xdr:cNvPicPr>
      </xdr:nvPicPr>
      <xdr:blipFill rotWithShape="1">
        <a:blip xmlns:r="http://schemas.openxmlformats.org/officeDocument/2006/relationships" r:embed="rId9"/>
        <a:srcRect l="-5312" t="5432"/>
        <a:stretch/>
      </xdr:blipFill>
      <xdr:spPr>
        <a:xfrm>
          <a:off x="3841750" y="4243916"/>
          <a:ext cx="3566583" cy="2040692"/>
        </a:xfrm>
        <a:prstGeom prst="rect">
          <a:avLst/>
        </a:prstGeom>
        <a:ln>
          <a:solidFill>
            <a:sysClr val="windowText" lastClr="000000"/>
          </a:solidFill>
        </a:ln>
      </xdr:spPr>
    </xdr:pic>
    <xdr:clientData/>
  </xdr:twoCellAnchor>
  <xdr:twoCellAnchor>
    <xdr:from>
      <xdr:col>7</xdr:col>
      <xdr:colOff>173567</xdr:colOff>
      <xdr:row>38</xdr:row>
      <xdr:rowOff>35979</xdr:rowOff>
    </xdr:from>
    <xdr:to>
      <xdr:col>7</xdr:col>
      <xdr:colOff>681568</xdr:colOff>
      <xdr:row>39</xdr:row>
      <xdr:rowOff>141814</xdr:rowOff>
    </xdr:to>
    <xdr:sp macro="" textlink="$G$16">
      <xdr:nvSpPr>
        <xdr:cNvPr id="32" name="11 CuadroTexto">
          <a:extLst>
            <a:ext uri="{FF2B5EF4-FFF2-40B4-BE49-F238E27FC236}">
              <a16:creationId xmlns:a16="http://schemas.microsoft.com/office/drawing/2014/main" id="{00000000-0008-0000-0B00-000020000000}"/>
            </a:ext>
          </a:extLst>
        </xdr:cNvPr>
        <xdr:cNvSpPr txBox="1"/>
      </xdr:nvSpPr>
      <xdr:spPr>
        <a:xfrm>
          <a:off x="6460067" y="5835646"/>
          <a:ext cx="508001" cy="254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CEB5EEE3-98CB-49B1-AB7D-E6E9ED7C8C64}" type="TxLink">
            <a:rPr lang="en-US" sz="900" b="1">
              <a:solidFill>
                <a:srgbClr val="002060"/>
              </a:solidFill>
              <a:latin typeface="+mn-lt"/>
              <a:ea typeface="+mn-ea"/>
              <a:cs typeface="+mn-cs"/>
            </a:rPr>
            <a:pPr marL="0" indent="0" algn="ctr"/>
            <a:t>0.0</a:t>
          </a:fld>
          <a:r>
            <a:rPr lang="en-US" sz="900" b="1">
              <a:solidFill>
                <a:srgbClr val="002060"/>
              </a:solidFill>
              <a:latin typeface="+mn-lt"/>
              <a:ea typeface="+mn-ea"/>
              <a:cs typeface="+mn-cs"/>
            </a:rPr>
            <a:t> m</a:t>
          </a:r>
          <a:endParaRPr lang="es-CO" sz="900" b="1">
            <a:solidFill>
              <a:srgbClr val="002060"/>
            </a:solidFill>
            <a:latin typeface="+mn-lt"/>
            <a:ea typeface="+mn-ea"/>
            <a:cs typeface="+mn-cs"/>
          </a:endParaRPr>
        </a:p>
      </xdr:txBody>
    </xdr:sp>
    <xdr:clientData/>
  </xdr:twoCellAnchor>
  <xdr:twoCellAnchor>
    <xdr:from>
      <xdr:col>4</xdr:col>
      <xdr:colOff>622301</xdr:colOff>
      <xdr:row>36</xdr:row>
      <xdr:rowOff>71966</xdr:rowOff>
    </xdr:from>
    <xdr:to>
      <xdr:col>5</xdr:col>
      <xdr:colOff>321733</xdr:colOff>
      <xdr:row>38</xdr:row>
      <xdr:rowOff>29633</xdr:rowOff>
    </xdr:to>
    <xdr:sp macro="" textlink="$G$15">
      <xdr:nvSpPr>
        <xdr:cNvPr id="33" name="11 CuadroTexto">
          <a:extLst>
            <a:ext uri="{FF2B5EF4-FFF2-40B4-BE49-F238E27FC236}">
              <a16:creationId xmlns:a16="http://schemas.microsoft.com/office/drawing/2014/main" id="{00000000-0008-0000-0B00-000021000000}"/>
            </a:ext>
          </a:extLst>
        </xdr:cNvPr>
        <xdr:cNvSpPr txBox="1"/>
      </xdr:nvSpPr>
      <xdr:spPr>
        <a:xfrm>
          <a:off x="4379384" y="5575299"/>
          <a:ext cx="588432" cy="254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E152F996-EA63-4EB4-94D2-BDA371BC69A2}" type="TxLink">
            <a:rPr lang="en-US" sz="900" b="1">
              <a:solidFill>
                <a:srgbClr val="002060"/>
              </a:solidFill>
              <a:latin typeface="+mn-lt"/>
              <a:ea typeface="+mn-ea"/>
              <a:cs typeface="+mn-cs"/>
            </a:rPr>
            <a:pPr marL="0" indent="0" algn="ctr"/>
            <a:t>0.0</a:t>
          </a:fld>
          <a:r>
            <a:rPr lang="en-US" sz="900" b="1">
              <a:solidFill>
                <a:srgbClr val="002060"/>
              </a:solidFill>
              <a:latin typeface="+mn-lt"/>
              <a:ea typeface="+mn-ea"/>
              <a:cs typeface="+mn-cs"/>
            </a:rPr>
            <a:t> m</a:t>
          </a:r>
          <a:endParaRPr lang="es-CO" sz="900" b="1">
            <a:solidFill>
              <a:srgbClr val="002060"/>
            </a:solidFill>
            <a:latin typeface="+mn-lt"/>
            <a:ea typeface="+mn-ea"/>
            <a:cs typeface="+mn-cs"/>
          </a:endParaRPr>
        </a:p>
      </xdr:txBody>
    </xdr:sp>
    <xdr:clientData/>
  </xdr:twoCellAnchor>
  <xdr:twoCellAnchor>
    <xdr:from>
      <xdr:col>4</xdr:col>
      <xdr:colOff>120649</xdr:colOff>
      <xdr:row>32</xdr:row>
      <xdr:rowOff>57146</xdr:rowOff>
    </xdr:from>
    <xdr:to>
      <xdr:col>4</xdr:col>
      <xdr:colOff>628650</xdr:colOff>
      <xdr:row>34</xdr:row>
      <xdr:rowOff>14814</xdr:rowOff>
    </xdr:to>
    <xdr:sp macro="" textlink="$G$17">
      <xdr:nvSpPr>
        <xdr:cNvPr id="34" name="11 CuadroTexto">
          <a:extLst>
            <a:ext uri="{FF2B5EF4-FFF2-40B4-BE49-F238E27FC236}">
              <a16:creationId xmlns:a16="http://schemas.microsoft.com/office/drawing/2014/main" id="{00000000-0008-0000-0B00-000022000000}"/>
            </a:ext>
          </a:extLst>
        </xdr:cNvPr>
        <xdr:cNvSpPr txBox="1"/>
      </xdr:nvSpPr>
      <xdr:spPr>
        <a:xfrm>
          <a:off x="3877732" y="4967813"/>
          <a:ext cx="508001" cy="254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5EC04FE7-5BE1-416D-8E5B-9B5EECEBBA86}" type="TxLink">
            <a:rPr lang="en-US" sz="900" b="1">
              <a:solidFill>
                <a:srgbClr val="002060"/>
              </a:solidFill>
              <a:latin typeface="+mn-lt"/>
              <a:ea typeface="+mn-ea"/>
              <a:cs typeface="+mn-cs"/>
            </a:rPr>
            <a:pPr marL="0" indent="0" algn="ctr"/>
            <a:t> </a:t>
          </a:fld>
          <a:r>
            <a:rPr lang="en-US" sz="900" b="1">
              <a:solidFill>
                <a:srgbClr val="002060"/>
              </a:solidFill>
              <a:latin typeface="+mn-lt"/>
              <a:ea typeface="+mn-ea"/>
              <a:cs typeface="+mn-cs"/>
            </a:rPr>
            <a:t> m</a:t>
          </a:r>
          <a:endParaRPr lang="es-CO" sz="900" b="1">
            <a:solidFill>
              <a:srgbClr val="002060"/>
            </a:solidFill>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15</xdr:col>
      <xdr:colOff>681067</xdr:colOff>
      <xdr:row>48</xdr:row>
      <xdr:rowOff>87502</xdr:rowOff>
    </xdr:from>
    <xdr:to>
      <xdr:col>17</xdr:col>
      <xdr:colOff>858119</xdr:colOff>
      <xdr:row>52</xdr:row>
      <xdr:rowOff>119064</xdr:rowOff>
    </xdr:to>
    <xdr:pic>
      <xdr:nvPicPr>
        <xdr:cNvPr id="2" name="Imagen 1" descr="Pavco">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1067" y="9612502"/>
          <a:ext cx="1701052" cy="793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29</xdr:row>
      <xdr:rowOff>95259</xdr:rowOff>
    </xdr:from>
    <xdr:to>
      <xdr:col>4</xdr:col>
      <xdr:colOff>285750</xdr:colOff>
      <xdr:row>49</xdr:row>
      <xdr:rowOff>180459</xdr:rowOff>
    </xdr:to>
    <xdr:sp macro="" textlink="">
      <xdr:nvSpPr>
        <xdr:cNvPr id="3" name="CuadroTexto 2">
          <a:extLst>
            <a:ext uri="{FF2B5EF4-FFF2-40B4-BE49-F238E27FC236}">
              <a16:creationId xmlns:a16="http://schemas.microsoft.com/office/drawing/2014/main" id="{00000000-0008-0000-0C00-000003000000}"/>
            </a:ext>
          </a:extLst>
        </xdr:cNvPr>
        <xdr:cNvSpPr txBox="1"/>
      </xdr:nvSpPr>
      <xdr:spPr>
        <a:xfrm>
          <a:off x="0" y="6000759"/>
          <a:ext cx="3333750" cy="389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i="0">
              <a:solidFill>
                <a:schemeClr val="bg1"/>
              </a:solidFill>
              <a:effectLst/>
              <a:latin typeface="PT Sans Narrow" panose="020B0506020203020204" pitchFamily="34" charset="0"/>
              <a:ea typeface="+mn-ea"/>
              <a:cs typeface="+mn-cs"/>
            </a:rPr>
            <a:t>Bogotá: Autopista Sur # 71-75.</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(601) 782 5000 Ext.:1101 Fax: +57 (601) 782 5020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Cali: Calle 64 Norte 5BN 46. Oficina R01, Centro Empresa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(602) 829 8969 EXT 2809</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Bucaramanga: Calle 30 # 22-129 Oficina 1802, Floridablanca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+57 314 330 2331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Barranquilla: Conmutador: +57 (605) 375 8100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0041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Itagüí - Antioquia: Calle 27 # 41-80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(604) 325 6660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Eje Cafetero: Carrera 17 # 5-58 Oficina 304 , Pereira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0025</a:t>
          </a:r>
          <a:endParaRPr lang="es-CO" sz="1200" b="1">
            <a:solidFill>
              <a:schemeClr val="bg1"/>
            </a:solidFill>
            <a:latin typeface="PT Sans Narrow" panose="020B0506020203020204" pitchFamily="34" charset="0"/>
          </a:endParaRPr>
        </a:p>
      </xdr:txBody>
    </xdr:sp>
    <xdr:clientData/>
  </xdr:twoCellAnchor>
  <xdr:twoCellAnchor editAs="oneCell">
    <xdr:from>
      <xdr:col>2</xdr:col>
      <xdr:colOff>148172</xdr:colOff>
      <xdr:row>49</xdr:row>
      <xdr:rowOff>168018</xdr:rowOff>
    </xdr:from>
    <xdr:to>
      <xdr:col>2</xdr:col>
      <xdr:colOff>499732</xdr:colOff>
      <xdr:row>51</xdr:row>
      <xdr:rowOff>137493</xdr:rowOff>
    </xdr:to>
    <xdr:pic>
      <xdr:nvPicPr>
        <xdr:cNvPr id="4" name="Imagen 3">
          <a:hlinkClick xmlns:r="http://schemas.openxmlformats.org/officeDocument/2006/relationships" r:id="rId2"/>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72172" y="9883518"/>
          <a:ext cx="351560" cy="350475"/>
        </a:xfrm>
        <a:prstGeom prst="rect">
          <a:avLst/>
        </a:prstGeom>
      </xdr:spPr>
    </xdr:pic>
    <xdr:clientData/>
  </xdr:twoCellAnchor>
  <xdr:twoCellAnchor editAs="oneCell">
    <xdr:from>
      <xdr:col>0</xdr:col>
      <xdr:colOff>412754</xdr:colOff>
      <xdr:row>49</xdr:row>
      <xdr:rowOff>168018</xdr:rowOff>
    </xdr:from>
    <xdr:to>
      <xdr:col>1</xdr:col>
      <xdr:colOff>1405</xdr:colOff>
      <xdr:row>51</xdr:row>
      <xdr:rowOff>137493</xdr:rowOff>
    </xdr:to>
    <xdr:pic>
      <xdr:nvPicPr>
        <xdr:cNvPr id="5" name="Imagen 4">
          <a:hlinkClick xmlns:r="http://schemas.openxmlformats.org/officeDocument/2006/relationships" r:id="rId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2754" y="9883518"/>
          <a:ext cx="350651" cy="350475"/>
        </a:xfrm>
        <a:prstGeom prst="rect">
          <a:avLst/>
        </a:prstGeom>
      </xdr:spPr>
    </xdr:pic>
    <xdr:clientData/>
  </xdr:twoCellAnchor>
  <xdr:twoCellAnchor editAs="oneCell">
    <xdr:from>
      <xdr:col>1</xdr:col>
      <xdr:colOff>253104</xdr:colOff>
      <xdr:row>50</xdr:row>
      <xdr:rowOff>51599</xdr:rowOff>
    </xdr:from>
    <xdr:to>
      <xdr:col>1</xdr:col>
      <xdr:colOff>658474</xdr:colOff>
      <xdr:row>51</xdr:row>
      <xdr:rowOff>173474</xdr:rowOff>
    </xdr:to>
    <xdr:pic>
      <xdr:nvPicPr>
        <xdr:cNvPr id="6" name="Imagen 5">
          <a:hlinkClick xmlns:r="http://schemas.openxmlformats.org/officeDocument/2006/relationships" r:id="rId6"/>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15104" y="9957599"/>
          <a:ext cx="405370" cy="312375"/>
        </a:xfrm>
        <a:prstGeom prst="rect">
          <a:avLst/>
        </a:prstGeom>
      </xdr:spPr>
    </xdr:pic>
    <xdr:clientData/>
  </xdr:twoCellAnchor>
  <xdr:twoCellAnchor>
    <xdr:from>
      <xdr:col>4</xdr:col>
      <xdr:colOff>750794</xdr:colOff>
      <xdr:row>51</xdr:row>
      <xdr:rowOff>9805</xdr:rowOff>
    </xdr:from>
    <xdr:to>
      <xdr:col>15</xdr:col>
      <xdr:colOff>11206</xdr:colOff>
      <xdr:row>52</xdr:row>
      <xdr:rowOff>166688</xdr:rowOff>
    </xdr:to>
    <xdr:sp macro="" textlink="">
      <xdr:nvSpPr>
        <xdr:cNvPr id="7" name="Forma libre: forma 6">
          <a:extLst>
            <a:ext uri="{FF2B5EF4-FFF2-40B4-BE49-F238E27FC236}">
              <a16:creationId xmlns:a16="http://schemas.microsoft.com/office/drawing/2014/main" id="{00000000-0008-0000-0C00-000007000000}"/>
            </a:ext>
          </a:extLst>
        </xdr:cNvPr>
        <xdr:cNvSpPr/>
      </xdr:nvSpPr>
      <xdr:spPr>
        <a:xfrm>
          <a:off x="3798794" y="10106305"/>
          <a:ext cx="7642412" cy="347383"/>
        </a:xfrm>
        <a:custGeom>
          <a:avLst/>
          <a:gdLst>
            <a:gd name="connsiteX0" fmla="*/ 0 w 6890994"/>
            <a:gd name="connsiteY0" fmla="*/ 0 h 363505"/>
            <a:gd name="connsiteX1" fmla="*/ 6890994 w 6890994"/>
            <a:gd name="connsiteY1" fmla="*/ 0 h 363505"/>
            <a:gd name="connsiteX2" fmla="*/ 6890994 w 6890994"/>
            <a:gd name="connsiteY2" fmla="*/ 73702 h 363505"/>
            <a:gd name="connsiteX3" fmla="*/ 6601228 w 6890994"/>
            <a:gd name="connsiteY3" fmla="*/ 363505 h 363505"/>
            <a:gd name="connsiteX4" fmla="*/ 289766 w 6890994"/>
            <a:gd name="connsiteY4" fmla="*/ 363505 h 363505"/>
            <a:gd name="connsiteX5" fmla="*/ 0 w 6890994"/>
            <a:gd name="connsiteY5" fmla="*/ 73702 h 3635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890994" h="363505">
              <a:moveTo>
                <a:pt x="0" y="0"/>
              </a:moveTo>
              <a:lnTo>
                <a:pt x="6890994" y="0"/>
              </a:lnTo>
              <a:lnTo>
                <a:pt x="6890994" y="73702"/>
              </a:lnTo>
              <a:cubicBezTo>
                <a:pt x="6890994" y="233755"/>
                <a:pt x="6761261" y="363505"/>
                <a:pt x="6601228" y="363505"/>
              </a:cubicBezTo>
              <a:lnTo>
                <a:pt x="289766" y="363505"/>
              </a:lnTo>
              <a:cubicBezTo>
                <a:pt x="129733" y="363505"/>
                <a:pt x="0" y="233755"/>
                <a:pt x="0" y="73702"/>
              </a:cubicBezTo>
              <a:close/>
            </a:path>
          </a:pathLst>
        </a:cu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clientData/>
  </xdr:twoCellAnchor>
  <xdr:twoCellAnchor>
    <xdr:from>
      <xdr:col>5</xdr:col>
      <xdr:colOff>0</xdr:colOff>
      <xdr:row>49</xdr:row>
      <xdr:rowOff>48946</xdr:rowOff>
    </xdr:from>
    <xdr:to>
      <xdr:col>8</xdr:col>
      <xdr:colOff>419288</xdr:colOff>
      <xdr:row>52</xdr:row>
      <xdr:rowOff>154782</xdr:rowOff>
    </xdr:to>
    <xdr:sp macro="" textlink="">
      <xdr:nvSpPr>
        <xdr:cNvPr id="8" name="Marcador de texto 2">
          <a:extLst>
            <a:ext uri="{FF2B5EF4-FFF2-40B4-BE49-F238E27FC236}">
              <a16:creationId xmlns:a16="http://schemas.microsoft.com/office/drawing/2014/main" id="{00000000-0008-0000-0C00-000008000000}"/>
            </a:ext>
          </a:extLst>
        </xdr:cNvPr>
        <xdr:cNvSpPr>
          <a:spLocks noGrp="1"/>
        </xdr:cNvSpPr>
      </xdr:nvSpPr>
      <xdr:spPr>
        <a:xfrm flipH="1" flipV="1">
          <a:off x="3810000" y="9764446"/>
          <a:ext cx="2705288" cy="677336"/>
        </a:xfrm>
        <a:prstGeom prst="rect">
          <a:avLst/>
        </a:prstGeom>
        <a:blipFill>
          <a:blip xmlns:r="http://schemas.openxmlformats.org/officeDocument/2006/relationships" r:embed="rId8"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8</xdr:col>
      <xdr:colOff>408081</xdr:colOff>
      <xdr:row>49</xdr:row>
      <xdr:rowOff>48946</xdr:rowOff>
    </xdr:from>
    <xdr:to>
      <xdr:col>11</xdr:col>
      <xdr:colOff>598582</xdr:colOff>
      <xdr:row>52</xdr:row>
      <xdr:rowOff>154782</xdr:rowOff>
    </xdr:to>
    <xdr:sp macro="" textlink="">
      <xdr:nvSpPr>
        <xdr:cNvPr id="9" name="Marcador de texto 2">
          <a:extLst>
            <a:ext uri="{FF2B5EF4-FFF2-40B4-BE49-F238E27FC236}">
              <a16:creationId xmlns:a16="http://schemas.microsoft.com/office/drawing/2014/main" id="{00000000-0008-0000-0C00-000009000000}"/>
            </a:ext>
          </a:extLst>
        </xdr:cNvPr>
        <xdr:cNvSpPr>
          <a:spLocks noGrp="1"/>
        </xdr:cNvSpPr>
      </xdr:nvSpPr>
      <xdr:spPr>
        <a:xfrm>
          <a:off x="6504081" y="9764446"/>
          <a:ext cx="2476501" cy="677336"/>
        </a:xfrm>
        <a:prstGeom prst="rect">
          <a:avLst/>
        </a:prstGeom>
        <a:blipFill>
          <a:blip xmlns:r="http://schemas.openxmlformats.org/officeDocument/2006/relationships" r:embed="rId8"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13</xdr:col>
      <xdr:colOff>282328</xdr:colOff>
      <xdr:row>49</xdr:row>
      <xdr:rowOff>48946</xdr:rowOff>
    </xdr:from>
    <xdr:to>
      <xdr:col>15</xdr:col>
      <xdr:colOff>6851</xdr:colOff>
      <xdr:row>52</xdr:row>
      <xdr:rowOff>144206</xdr:rowOff>
    </xdr:to>
    <xdr:sp macro="" textlink="">
      <xdr:nvSpPr>
        <xdr:cNvPr id="10" name="Marcador de texto 2">
          <a:extLst>
            <a:ext uri="{FF2B5EF4-FFF2-40B4-BE49-F238E27FC236}">
              <a16:creationId xmlns:a16="http://schemas.microsoft.com/office/drawing/2014/main" id="{00000000-0008-0000-0C00-00000A000000}"/>
            </a:ext>
          </a:extLst>
        </xdr:cNvPr>
        <xdr:cNvSpPr>
          <a:spLocks noGrp="1"/>
        </xdr:cNvSpPr>
      </xdr:nvSpPr>
      <xdr:spPr>
        <a:xfrm flipV="1">
          <a:off x="10188328" y="9764446"/>
          <a:ext cx="1248523" cy="666760"/>
        </a:xfrm>
        <a:prstGeom prst="rect">
          <a:avLst/>
        </a:prstGeom>
        <a:blipFill>
          <a:blip xmlns:r="http://schemas.openxmlformats.org/officeDocument/2006/relationships" r:embed="rId8"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17</xdr:col>
      <xdr:colOff>32208</xdr:colOff>
      <xdr:row>21</xdr:row>
      <xdr:rowOff>105832</xdr:rowOff>
    </xdr:from>
    <xdr:to>
      <xdr:col>17</xdr:col>
      <xdr:colOff>976313</xdr:colOff>
      <xdr:row>27</xdr:row>
      <xdr:rowOff>162804</xdr:rowOff>
    </xdr:to>
    <xdr:grpSp>
      <xdr:nvGrpSpPr>
        <xdr:cNvPr id="11" name="Boton Portada Up">
          <a:extLst>
            <a:ext uri="{FF2B5EF4-FFF2-40B4-BE49-F238E27FC236}">
              <a16:creationId xmlns:a16="http://schemas.microsoft.com/office/drawing/2014/main" id="{00000000-0008-0000-0C00-00000B000000}"/>
            </a:ext>
          </a:extLst>
        </xdr:cNvPr>
        <xdr:cNvGrpSpPr/>
      </xdr:nvGrpSpPr>
      <xdr:grpSpPr>
        <a:xfrm>
          <a:off x="12986208" y="4106332"/>
          <a:ext cx="944105" cy="1199972"/>
          <a:chOff x="1725407" y="1124918"/>
          <a:chExt cx="1048614" cy="1520915"/>
        </a:xfrm>
      </xdr:grpSpPr>
      <xdr:sp macro="[0]!D" textlink="">
        <xdr:nvSpPr>
          <xdr:cNvPr id="12" name="Octágono 11">
            <a:extLst>
              <a:ext uri="{FF2B5EF4-FFF2-40B4-BE49-F238E27FC236}">
                <a16:creationId xmlns:a16="http://schemas.microsoft.com/office/drawing/2014/main" id="{00000000-0008-0000-0C00-00000C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D" textlink="">
        <xdr:nvSpPr>
          <xdr:cNvPr id="13" name="CuadroTexto 12">
            <a:extLst>
              <a:ext uri="{FF2B5EF4-FFF2-40B4-BE49-F238E27FC236}">
                <a16:creationId xmlns:a16="http://schemas.microsoft.com/office/drawing/2014/main" id="{00000000-0008-0000-0C00-00000D000000}"/>
              </a:ext>
            </a:extLst>
          </xdr:cNvPr>
          <xdr:cNvSpPr txBox="1"/>
        </xdr:nvSpPr>
        <xdr:spPr>
          <a:xfrm>
            <a:off x="1725407" y="1124918"/>
            <a:ext cx="1048614" cy="1021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DIMENSION</a:t>
            </a:r>
          </a:p>
        </xdr:txBody>
      </xdr:sp>
      <xdr:pic macro="[0]!D">
        <xdr:nvPicPr>
          <xdr:cNvPr id="14" name="Imagen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twoCellAnchor>
    <xdr:from>
      <xdr:col>4</xdr:col>
      <xdr:colOff>740833</xdr:colOff>
      <xdr:row>0</xdr:row>
      <xdr:rowOff>126998</xdr:rowOff>
    </xdr:from>
    <xdr:to>
      <xdr:col>15</xdr:col>
      <xdr:colOff>1245</xdr:colOff>
      <xdr:row>2</xdr:row>
      <xdr:rowOff>109503</xdr:rowOff>
    </xdr:to>
    <xdr:sp macro="" textlink="">
      <xdr:nvSpPr>
        <xdr:cNvPr id="15" name="Forma libre: forma 14">
          <a:extLst>
            <a:ext uri="{FF2B5EF4-FFF2-40B4-BE49-F238E27FC236}">
              <a16:creationId xmlns:a16="http://schemas.microsoft.com/office/drawing/2014/main" id="{00000000-0008-0000-0C00-00000F000000}"/>
            </a:ext>
          </a:extLst>
        </xdr:cNvPr>
        <xdr:cNvSpPr/>
      </xdr:nvSpPr>
      <xdr:spPr>
        <a:xfrm rot="10800000">
          <a:off x="3788833" y="126998"/>
          <a:ext cx="7642412" cy="363505"/>
        </a:xfrm>
        <a:custGeom>
          <a:avLst/>
          <a:gdLst>
            <a:gd name="connsiteX0" fmla="*/ 0 w 6890994"/>
            <a:gd name="connsiteY0" fmla="*/ 0 h 363505"/>
            <a:gd name="connsiteX1" fmla="*/ 6890994 w 6890994"/>
            <a:gd name="connsiteY1" fmla="*/ 0 h 363505"/>
            <a:gd name="connsiteX2" fmla="*/ 6890994 w 6890994"/>
            <a:gd name="connsiteY2" fmla="*/ 73702 h 363505"/>
            <a:gd name="connsiteX3" fmla="*/ 6601228 w 6890994"/>
            <a:gd name="connsiteY3" fmla="*/ 363505 h 363505"/>
            <a:gd name="connsiteX4" fmla="*/ 289766 w 6890994"/>
            <a:gd name="connsiteY4" fmla="*/ 363505 h 363505"/>
            <a:gd name="connsiteX5" fmla="*/ 0 w 6890994"/>
            <a:gd name="connsiteY5" fmla="*/ 73702 h 3635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890994" h="363505">
              <a:moveTo>
                <a:pt x="0" y="0"/>
              </a:moveTo>
              <a:lnTo>
                <a:pt x="6890994" y="0"/>
              </a:lnTo>
              <a:lnTo>
                <a:pt x="6890994" y="73702"/>
              </a:lnTo>
              <a:cubicBezTo>
                <a:pt x="6890994" y="233755"/>
                <a:pt x="6761261" y="363505"/>
                <a:pt x="6601228" y="363505"/>
              </a:cubicBezTo>
              <a:lnTo>
                <a:pt x="289766" y="363505"/>
              </a:lnTo>
              <a:cubicBezTo>
                <a:pt x="129733" y="363505"/>
                <a:pt x="0" y="233755"/>
                <a:pt x="0" y="73702"/>
              </a:cubicBezTo>
              <a:close/>
            </a:path>
          </a:pathLst>
        </a:cu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clientData/>
  </xdr:twoCellAnchor>
  <xdr:twoCellAnchor>
    <xdr:from>
      <xdr:col>5</xdr:col>
      <xdr:colOff>3</xdr:colOff>
      <xdr:row>0</xdr:row>
      <xdr:rowOff>127006</xdr:rowOff>
    </xdr:from>
    <xdr:to>
      <xdr:col>8</xdr:col>
      <xdr:colOff>419291</xdr:colOff>
      <xdr:row>4</xdr:row>
      <xdr:rowOff>59771</xdr:rowOff>
    </xdr:to>
    <xdr:sp macro="" textlink="">
      <xdr:nvSpPr>
        <xdr:cNvPr id="16" name="Marcador de texto 2">
          <a:extLst>
            <a:ext uri="{FF2B5EF4-FFF2-40B4-BE49-F238E27FC236}">
              <a16:creationId xmlns:a16="http://schemas.microsoft.com/office/drawing/2014/main" id="{00000000-0008-0000-0C00-000010000000}"/>
            </a:ext>
          </a:extLst>
        </xdr:cNvPr>
        <xdr:cNvSpPr>
          <a:spLocks noGrp="1"/>
        </xdr:cNvSpPr>
      </xdr:nvSpPr>
      <xdr:spPr>
        <a:xfrm flipH="1">
          <a:off x="3810003" y="127006"/>
          <a:ext cx="2705288" cy="694765"/>
        </a:xfrm>
        <a:prstGeom prst="rect">
          <a:avLst/>
        </a:prstGeom>
        <a:blipFill>
          <a:blip xmlns:r="http://schemas.openxmlformats.org/officeDocument/2006/relationships" r:embed="rId8"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8</xdr:col>
      <xdr:colOff>408084</xdr:colOff>
      <xdr:row>0</xdr:row>
      <xdr:rowOff>127006</xdr:rowOff>
    </xdr:from>
    <xdr:to>
      <xdr:col>11</xdr:col>
      <xdr:colOff>598585</xdr:colOff>
      <xdr:row>4</xdr:row>
      <xdr:rowOff>59771</xdr:rowOff>
    </xdr:to>
    <xdr:sp macro="" textlink="">
      <xdr:nvSpPr>
        <xdr:cNvPr id="17" name="Marcador de texto 2">
          <a:extLst>
            <a:ext uri="{FF2B5EF4-FFF2-40B4-BE49-F238E27FC236}">
              <a16:creationId xmlns:a16="http://schemas.microsoft.com/office/drawing/2014/main" id="{00000000-0008-0000-0C00-000011000000}"/>
            </a:ext>
          </a:extLst>
        </xdr:cNvPr>
        <xdr:cNvSpPr>
          <a:spLocks noGrp="1"/>
        </xdr:cNvSpPr>
      </xdr:nvSpPr>
      <xdr:spPr>
        <a:xfrm flipV="1">
          <a:off x="6504084" y="127006"/>
          <a:ext cx="2476501" cy="694765"/>
        </a:xfrm>
        <a:prstGeom prst="rect">
          <a:avLst/>
        </a:prstGeom>
        <a:blipFill>
          <a:blip xmlns:r="http://schemas.openxmlformats.org/officeDocument/2006/relationships" r:embed="rId8"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13</xdr:col>
      <xdr:colOff>271747</xdr:colOff>
      <xdr:row>0</xdr:row>
      <xdr:rowOff>137589</xdr:rowOff>
    </xdr:from>
    <xdr:to>
      <xdr:col>14</xdr:col>
      <xdr:colOff>758270</xdr:colOff>
      <xdr:row>4</xdr:row>
      <xdr:rowOff>70354</xdr:rowOff>
    </xdr:to>
    <xdr:sp macro="" textlink="">
      <xdr:nvSpPr>
        <xdr:cNvPr id="18" name="Marcador de texto 2">
          <a:extLst>
            <a:ext uri="{FF2B5EF4-FFF2-40B4-BE49-F238E27FC236}">
              <a16:creationId xmlns:a16="http://schemas.microsoft.com/office/drawing/2014/main" id="{00000000-0008-0000-0C00-000012000000}"/>
            </a:ext>
          </a:extLst>
        </xdr:cNvPr>
        <xdr:cNvSpPr>
          <a:spLocks noGrp="1"/>
        </xdr:cNvSpPr>
      </xdr:nvSpPr>
      <xdr:spPr>
        <a:xfrm>
          <a:off x="10177747" y="137589"/>
          <a:ext cx="1248523" cy="694765"/>
        </a:xfrm>
        <a:prstGeom prst="rect">
          <a:avLst/>
        </a:prstGeom>
        <a:blipFill>
          <a:blip xmlns:r="http://schemas.openxmlformats.org/officeDocument/2006/relationships" r:embed="rId8"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11</xdr:col>
      <xdr:colOff>444501</xdr:colOff>
      <xdr:row>0</xdr:row>
      <xdr:rowOff>137587</xdr:rowOff>
    </xdr:from>
    <xdr:to>
      <xdr:col>13</xdr:col>
      <xdr:colOff>275167</xdr:colOff>
      <xdr:row>4</xdr:row>
      <xdr:rowOff>70352</xdr:rowOff>
    </xdr:to>
    <xdr:sp macro="" textlink="">
      <xdr:nvSpPr>
        <xdr:cNvPr id="19" name="Marcador de texto 2">
          <a:extLst>
            <a:ext uri="{FF2B5EF4-FFF2-40B4-BE49-F238E27FC236}">
              <a16:creationId xmlns:a16="http://schemas.microsoft.com/office/drawing/2014/main" id="{00000000-0008-0000-0C00-000013000000}"/>
            </a:ext>
          </a:extLst>
        </xdr:cNvPr>
        <xdr:cNvSpPr>
          <a:spLocks noGrp="1"/>
        </xdr:cNvSpPr>
      </xdr:nvSpPr>
      <xdr:spPr>
        <a:xfrm flipH="1">
          <a:off x="8826501" y="137587"/>
          <a:ext cx="1354666" cy="694765"/>
        </a:xfrm>
        <a:prstGeom prst="rect">
          <a:avLst/>
        </a:prstGeom>
        <a:blipFill>
          <a:blip xmlns:r="http://schemas.openxmlformats.org/officeDocument/2006/relationships" r:embed="rId8" cstate="email">
            <a:extLst>
              <a:ext uri="{28A0092B-C50C-407E-A947-70E740481C1C}">
                <a14:useLocalDpi xmlns:a14="http://schemas.microsoft.com/office/drawing/2010/main"/>
              </a:ext>
            </a:extLst>
          </a:blip>
          <a:srcRect/>
          <a:stretch>
            <a:fillRect l="-8182" r="-91521"/>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11</xdr:col>
      <xdr:colOff>444498</xdr:colOff>
      <xdr:row>49</xdr:row>
      <xdr:rowOff>48946</xdr:rowOff>
    </xdr:from>
    <xdr:to>
      <xdr:col>13</xdr:col>
      <xdr:colOff>275164</xdr:colOff>
      <xdr:row>52</xdr:row>
      <xdr:rowOff>144201</xdr:rowOff>
    </xdr:to>
    <xdr:sp macro="" textlink="">
      <xdr:nvSpPr>
        <xdr:cNvPr id="20" name="Marcador de texto 2">
          <a:extLst>
            <a:ext uri="{FF2B5EF4-FFF2-40B4-BE49-F238E27FC236}">
              <a16:creationId xmlns:a16="http://schemas.microsoft.com/office/drawing/2014/main" id="{00000000-0008-0000-0C00-000014000000}"/>
            </a:ext>
          </a:extLst>
        </xdr:cNvPr>
        <xdr:cNvSpPr>
          <a:spLocks noGrp="1"/>
        </xdr:cNvSpPr>
      </xdr:nvSpPr>
      <xdr:spPr>
        <a:xfrm flipH="1" flipV="1">
          <a:off x="8826498" y="9764446"/>
          <a:ext cx="1354666" cy="666755"/>
        </a:xfrm>
        <a:prstGeom prst="rect">
          <a:avLst/>
        </a:prstGeom>
        <a:blipFill>
          <a:blip xmlns:r="http://schemas.openxmlformats.org/officeDocument/2006/relationships" r:embed="rId8" cstate="email">
            <a:extLst>
              <a:ext uri="{28A0092B-C50C-407E-A947-70E740481C1C}">
                <a14:useLocalDpi xmlns:a14="http://schemas.microsoft.com/office/drawing/2010/main"/>
              </a:ext>
            </a:extLst>
          </a:blip>
          <a:srcRect/>
          <a:stretch>
            <a:fillRect l="-8182" r="-91521"/>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3</xdr:col>
      <xdr:colOff>201083</xdr:colOff>
      <xdr:row>5</xdr:row>
      <xdr:rowOff>116416</xdr:rowOff>
    </xdr:from>
    <xdr:to>
      <xdr:col>10</xdr:col>
      <xdr:colOff>529166</xdr:colOff>
      <xdr:row>7</xdr:row>
      <xdr:rowOff>118533</xdr:rowOff>
    </xdr:to>
    <xdr:grpSp>
      <xdr:nvGrpSpPr>
        <xdr:cNvPr id="21" name="Grupo 20">
          <a:extLst>
            <a:ext uri="{FF2B5EF4-FFF2-40B4-BE49-F238E27FC236}">
              <a16:creationId xmlns:a16="http://schemas.microsoft.com/office/drawing/2014/main" id="{00000000-0008-0000-0C00-000015000000}"/>
            </a:ext>
          </a:extLst>
        </xdr:cNvPr>
        <xdr:cNvGrpSpPr/>
      </xdr:nvGrpSpPr>
      <xdr:grpSpPr>
        <a:xfrm>
          <a:off x="2487083" y="1068916"/>
          <a:ext cx="5662083" cy="383117"/>
          <a:chOff x="2719919" y="1100667"/>
          <a:chExt cx="5662083" cy="383117"/>
        </a:xfrm>
      </xdr:grpSpPr>
      <xdr:sp macro="" textlink="">
        <xdr:nvSpPr>
          <xdr:cNvPr id="22" name="Rectángulo: esquinas diagonales cortadas 21">
            <a:extLst>
              <a:ext uri="{FF2B5EF4-FFF2-40B4-BE49-F238E27FC236}">
                <a16:creationId xmlns:a16="http://schemas.microsoft.com/office/drawing/2014/main" id="{00000000-0008-0000-0C00-000016000000}"/>
              </a:ext>
            </a:extLst>
          </xdr:cNvPr>
          <xdr:cNvSpPr/>
        </xdr:nvSpPr>
        <xdr:spPr>
          <a:xfrm flipV="1">
            <a:off x="2921000" y="1100667"/>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3" name="CuadroTexto 22">
            <a:extLst>
              <a:ext uri="{FF2B5EF4-FFF2-40B4-BE49-F238E27FC236}">
                <a16:creationId xmlns:a16="http://schemas.microsoft.com/office/drawing/2014/main" id="{00000000-0008-0000-0C00-000017000000}"/>
              </a:ext>
            </a:extLst>
          </xdr:cNvPr>
          <xdr:cNvSpPr txBox="1"/>
        </xdr:nvSpPr>
        <xdr:spPr>
          <a:xfrm>
            <a:off x="2719919" y="1134721"/>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DIFERENCIAS ENTRE CELDAS AQUACELL</a:t>
            </a:r>
          </a:p>
          <a:p>
            <a:pPr algn="ctr"/>
            <a:endParaRPr lang="es-CO" sz="1400" b="1">
              <a:solidFill>
                <a:schemeClr val="bg1"/>
              </a:solidFill>
              <a:latin typeface="PT Sans Narrow" panose="020B0506020203020204" pitchFamily="34" charset="0"/>
            </a:endParaRPr>
          </a:p>
        </xdr:txBody>
      </xdr:sp>
    </xdr:grpSp>
    <xdr:clientData/>
  </xdr:twoCellAnchor>
  <xdr:twoCellAnchor editAs="oneCell">
    <xdr:from>
      <xdr:col>5</xdr:col>
      <xdr:colOff>428625</xdr:colOff>
      <xdr:row>8</xdr:row>
      <xdr:rowOff>20424</xdr:rowOff>
    </xdr:from>
    <xdr:to>
      <xdr:col>9</xdr:col>
      <xdr:colOff>23811</xdr:colOff>
      <xdr:row>22</xdr:row>
      <xdr:rowOff>27396</xdr:rowOff>
    </xdr:to>
    <xdr:pic>
      <xdr:nvPicPr>
        <xdr:cNvPr id="33" name="Imagen 32">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0">
          <a:extLst>
            <a:ext uri="{BEBA8EAE-BF5A-486C-A8C5-ECC9F3942E4B}">
              <a14:imgProps xmlns:a14="http://schemas.microsoft.com/office/drawing/2010/main">
                <a14:imgLayer r:embed="rId11">
                  <a14:imgEffect>
                    <a14:backgroundRemoval t="9598" b="89474" l="5728" r="95975">
                      <a14:foregroundMark x1="7276" y1="37926" x2="7276" y2="37926"/>
                      <a14:foregroundMark x1="5882" y1="41022" x2="5882" y2="41022"/>
                      <a14:foregroundMark x1="90093" y1="35294" x2="90093" y2="35294"/>
                      <a14:foregroundMark x1="95975" y1="31734" x2="95975" y2="31734"/>
                    </a14:backgroundRemoval>
                  </a14:imgEffect>
                </a14:imgLayer>
              </a14:imgProps>
            </a:ext>
            <a:ext uri="{28A0092B-C50C-407E-A947-70E740481C1C}">
              <a14:useLocalDpi xmlns:a14="http://schemas.microsoft.com/office/drawing/2010/main" val="0"/>
            </a:ext>
          </a:extLst>
        </a:blip>
        <a:stretch>
          <a:fillRect/>
        </a:stretch>
      </xdr:blipFill>
      <xdr:spPr>
        <a:xfrm>
          <a:off x="4238625" y="1544424"/>
          <a:ext cx="2643186" cy="2673972"/>
        </a:xfrm>
        <a:prstGeom prst="rect">
          <a:avLst/>
        </a:prstGeom>
      </xdr:spPr>
    </xdr:pic>
    <xdr:clientData/>
  </xdr:twoCellAnchor>
  <xdr:twoCellAnchor editAs="oneCell">
    <xdr:from>
      <xdr:col>10</xdr:col>
      <xdr:colOff>194845</xdr:colOff>
      <xdr:row>9</xdr:row>
      <xdr:rowOff>142877</xdr:rowOff>
    </xdr:from>
    <xdr:to>
      <xdr:col>14</xdr:col>
      <xdr:colOff>558130</xdr:colOff>
      <xdr:row>20</xdr:row>
      <xdr:rowOff>71439</xdr:rowOff>
    </xdr:to>
    <xdr:pic>
      <xdr:nvPicPr>
        <xdr:cNvPr id="37" name="Imagen 36" descr="Imagen que contiene tabla, pastel, grande, viejo&#10;&#10;Descripción generada automáticamente">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2">
          <a:extLst>
            <a:ext uri="{BEBA8EAE-BF5A-486C-A8C5-ECC9F3942E4B}">
              <a14:imgProps xmlns:a14="http://schemas.microsoft.com/office/drawing/2010/main">
                <a14:imgLayer r:embed="rId13">
                  <a14:imgEffect>
                    <a14:backgroundRemoval t="10000" b="91951" l="6657" r="89870">
                      <a14:foregroundMark x1="34153" y1="29024" x2="34153" y2="29024"/>
                      <a14:foregroundMark x1="28220" y1="26098" x2="28220" y2="26098"/>
                      <a14:foregroundMark x1="22865" y1="30000" x2="22865" y2="30000"/>
                      <a14:foregroundMark x1="9262" y1="26098" x2="9262" y2="26098"/>
                      <a14:foregroundMark x1="7381" y1="30000" x2="7381" y2="30000"/>
                      <a14:foregroundMark x1="25760" y1="92195" x2="25760" y2="92195"/>
                      <a14:foregroundMark x1="10999" y1="80976" x2="10999" y2="80976"/>
                      <a14:foregroundMark x1="6657" y1="74878" x2="6657" y2="74878"/>
                      <a14:foregroundMark x1="33430" y1="33902" x2="33430" y2="33902"/>
                      <a14:foregroundMark x1="37048" y1="31707" x2="37048" y2="31707"/>
                      <a14:foregroundMark x1="38784" y1="30732" x2="38784" y2="30732"/>
                      <a14:foregroundMark x1="89146" y1="24878" x2="89146" y2="24878"/>
                    </a14:backgroundRemoval>
                  </a14:imgEffect>
                </a14:imgLayer>
              </a14:imgProps>
            </a:ext>
          </a:extLst>
        </a:blip>
        <a:stretch>
          <a:fillRect/>
        </a:stretch>
      </xdr:blipFill>
      <xdr:spPr>
        <a:xfrm>
          <a:off x="7814845" y="1857377"/>
          <a:ext cx="3411285" cy="2024062"/>
        </a:xfrm>
        <a:prstGeom prst="rect">
          <a:avLst/>
        </a:prstGeom>
      </xdr:spPr>
    </xdr:pic>
    <xdr:clientData/>
  </xdr:twoCellAnchor>
  <xdr:twoCellAnchor>
    <xdr:from>
      <xdr:col>5</xdr:col>
      <xdr:colOff>166687</xdr:colOff>
      <xdr:row>21</xdr:row>
      <xdr:rowOff>128590</xdr:rowOff>
    </xdr:from>
    <xdr:to>
      <xdr:col>9</xdr:col>
      <xdr:colOff>242358</xdr:colOff>
      <xdr:row>23</xdr:row>
      <xdr:rowOff>130707</xdr:rowOff>
    </xdr:to>
    <xdr:grpSp>
      <xdr:nvGrpSpPr>
        <xdr:cNvPr id="41" name="Grupo 40">
          <a:extLst>
            <a:ext uri="{FF2B5EF4-FFF2-40B4-BE49-F238E27FC236}">
              <a16:creationId xmlns:a16="http://schemas.microsoft.com/office/drawing/2014/main" id="{00000000-0008-0000-0C00-000029000000}"/>
            </a:ext>
          </a:extLst>
        </xdr:cNvPr>
        <xdr:cNvGrpSpPr/>
      </xdr:nvGrpSpPr>
      <xdr:grpSpPr>
        <a:xfrm>
          <a:off x="3976687" y="4129090"/>
          <a:ext cx="3123671" cy="383117"/>
          <a:chOff x="2719919" y="1100667"/>
          <a:chExt cx="5662083" cy="383117"/>
        </a:xfrm>
      </xdr:grpSpPr>
      <xdr:sp macro="" textlink="">
        <xdr:nvSpPr>
          <xdr:cNvPr id="42" name="Rectángulo: esquinas diagonales cortadas 41">
            <a:extLst>
              <a:ext uri="{FF2B5EF4-FFF2-40B4-BE49-F238E27FC236}">
                <a16:creationId xmlns:a16="http://schemas.microsoft.com/office/drawing/2014/main" id="{00000000-0008-0000-0C00-00002A000000}"/>
              </a:ext>
            </a:extLst>
          </xdr:cNvPr>
          <xdr:cNvSpPr/>
        </xdr:nvSpPr>
        <xdr:spPr>
          <a:xfrm flipV="1">
            <a:off x="2921000" y="1100667"/>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3" name="CuadroTexto 42">
            <a:extLst>
              <a:ext uri="{FF2B5EF4-FFF2-40B4-BE49-F238E27FC236}">
                <a16:creationId xmlns:a16="http://schemas.microsoft.com/office/drawing/2014/main" id="{00000000-0008-0000-0C00-00002B000000}"/>
              </a:ext>
            </a:extLst>
          </xdr:cNvPr>
          <xdr:cNvSpPr txBox="1"/>
        </xdr:nvSpPr>
        <xdr:spPr>
          <a:xfrm>
            <a:off x="2719919" y="1134721"/>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AQUACELL CORE</a:t>
            </a:r>
          </a:p>
          <a:p>
            <a:pPr algn="ctr"/>
            <a:endParaRPr lang="es-CO" sz="1400" b="1">
              <a:solidFill>
                <a:schemeClr val="bg1"/>
              </a:solidFill>
              <a:latin typeface="PT Sans Narrow" panose="020B0506020203020204" pitchFamily="34" charset="0"/>
            </a:endParaRPr>
          </a:p>
        </xdr:txBody>
      </xdr:sp>
    </xdr:grpSp>
    <xdr:clientData/>
  </xdr:twoCellAnchor>
  <xdr:twoCellAnchor>
    <xdr:from>
      <xdr:col>10</xdr:col>
      <xdr:colOff>369093</xdr:colOff>
      <xdr:row>21</xdr:row>
      <xdr:rowOff>128590</xdr:rowOff>
    </xdr:from>
    <xdr:to>
      <xdr:col>14</xdr:col>
      <xdr:colOff>444764</xdr:colOff>
      <xdr:row>23</xdr:row>
      <xdr:rowOff>130707</xdr:rowOff>
    </xdr:to>
    <xdr:grpSp>
      <xdr:nvGrpSpPr>
        <xdr:cNvPr id="44" name="Grupo 43">
          <a:extLst>
            <a:ext uri="{FF2B5EF4-FFF2-40B4-BE49-F238E27FC236}">
              <a16:creationId xmlns:a16="http://schemas.microsoft.com/office/drawing/2014/main" id="{00000000-0008-0000-0C00-00002C000000}"/>
            </a:ext>
          </a:extLst>
        </xdr:cNvPr>
        <xdr:cNvGrpSpPr/>
      </xdr:nvGrpSpPr>
      <xdr:grpSpPr>
        <a:xfrm>
          <a:off x="7989093" y="4129090"/>
          <a:ext cx="3123671" cy="383117"/>
          <a:chOff x="2719919" y="1100667"/>
          <a:chExt cx="5662083" cy="383117"/>
        </a:xfrm>
      </xdr:grpSpPr>
      <xdr:sp macro="" textlink="">
        <xdr:nvSpPr>
          <xdr:cNvPr id="45" name="Rectángulo: esquinas diagonales cortadas 44">
            <a:extLst>
              <a:ext uri="{FF2B5EF4-FFF2-40B4-BE49-F238E27FC236}">
                <a16:creationId xmlns:a16="http://schemas.microsoft.com/office/drawing/2014/main" id="{00000000-0008-0000-0C00-00002D000000}"/>
              </a:ext>
            </a:extLst>
          </xdr:cNvPr>
          <xdr:cNvSpPr/>
        </xdr:nvSpPr>
        <xdr:spPr>
          <a:xfrm flipV="1">
            <a:off x="2921000" y="1100667"/>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6" name="CuadroTexto 45">
            <a:extLst>
              <a:ext uri="{FF2B5EF4-FFF2-40B4-BE49-F238E27FC236}">
                <a16:creationId xmlns:a16="http://schemas.microsoft.com/office/drawing/2014/main" id="{00000000-0008-0000-0C00-00002E000000}"/>
              </a:ext>
            </a:extLst>
          </xdr:cNvPr>
          <xdr:cNvSpPr txBox="1"/>
        </xdr:nvSpPr>
        <xdr:spPr>
          <a:xfrm>
            <a:off x="2719919" y="1134721"/>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AQUACELL NG</a:t>
            </a:r>
          </a:p>
          <a:p>
            <a:pPr algn="ctr"/>
            <a:endParaRPr lang="es-CO" sz="1400" b="1">
              <a:solidFill>
                <a:schemeClr val="bg1"/>
              </a:solidFill>
              <a:latin typeface="PT Sans Narrow" panose="020B0506020203020204" pitchFamily="34" charset="0"/>
            </a:endParaRPr>
          </a:p>
        </xdr:txBody>
      </xdr:sp>
    </xdr:grpSp>
    <xdr:clientData/>
  </xdr:twoCellAnchor>
  <xdr:twoCellAnchor>
    <xdr:from>
      <xdr:col>3</xdr:col>
      <xdr:colOff>201083</xdr:colOff>
      <xdr:row>25</xdr:row>
      <xdr:rowOff>83344</xdr:rowOff>
    </xdr:from>
    <xdr:to>
      <xdr:col>10</xdr:col>
      <xdr:colOff>529166</xdr:colOff>
      <xdr:row>27</xdr:row>
      <xdr:rowOff>85461</xdr:rowOff>
    </xdr:to>
    <xdr:grpSp>
      <xdr:nvGrpSpPr>
        <xdr:cNvPr id="47" name="Grupo 46">
          <a:extLst>
            <a:ext uri="{FF2B5EF4-FFF2-40B4-BE49-F238E27FC236}">
              <a16:creationId xmlns:a16="http://schemas.microsoft.com/office/drawing/2014/main" id="{00000000-0008-0000-0C00-00002F000000}"/>
            </a:ext>
          </a:extLst>
        </xdr:cNvPr>
        <xdr:cNvGrpSpPr/>
      </xdr:nvGrpSpPr>
      <xdr:grpSpPr>
        <a:xfrm>
          <a:off x="2487083" y="4845844"/>
          <a:ext cx="5662083" cy="383117"/>
          <a:chOff x="2719919" y="1100667"/>
          <a:chExt cx="5662083" cy="383117"/>
        </a:xfrm>
      </xdr:grpSpPr>
      <xdr:sp macro="" textlink="">
        <xdr:nvSpPr>
          <xdr:cNvPr id="48" name="Rectángulo: esquinas diagonales cortadas 47">
            <a:extLst>
              <a:ext uri="{FF2B5EF4-FFF2-40B4-BE49-F238E27FC236}">
                <a16:creationId xmlns:a16="http://schemas.microsoft.com/office/drawing/2014/main" id="{00000000-0008-0000-0C00-000030000000}"/>
              </a:ext>
            </a:extLst>
          </xdr:cNvPr>
          <xdr:cNvSpPr/>
        </xdr:nvSpPr>
        <xdr:spPr>
          <a:xfrm flipV="1">
            <a:off x="2921000" y="1100667"/>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9" name="CuadroTexto 48">
            <a:extLst>
              <a:ext uri="{FF2B5EF4-FFF2-40B4-BE49-F238E27FC236}">
                <a16:creationId xmlns:a16="http://schemas.microsoft.com/office/drawing/2014/main" id="{00000000-0008-0000-0C00-000031000000}"/>
              </a:ext>
            </a:extLst>
          </xdr:cNvPr>
          <xdr:cNvSpPr txBox="1"/>
        </xdr:nvSpPr>
        <xdr:spPr>
          <a:xfrm>
            <a:off x="2719919" y="1134721"/>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DIMENSIONES</a:t>
            </a:r>
          </a:p>
          <a:p>
            <a:pPr algn="ctr"/>
            <a:endParaRPr lang="es-CO" sz="1400" b="1">
              <a:solidFill>
                <a:schemeClr val="bg1"/>
              </a:solidFill>
              <a:latin typeface="PT Sans Narrow" panose="020B0506020203020204" pitchFamily="34" charset="0"/>
            </a:endParaRPr>
          </a:p>
        </xdr:txBody>
      </xdr:sp>
    </xdr:grpSp>
    <xdr:clientData/>
  </xdr:twoCellAnchor>
  <xdr:twoCellAnchor>
    <xdr:from>
      <xdr:col>3</xdr:col>
      <xdr:colOff>201083</xdr:colOff>
      <xdr:row>31</xdr:row>
      <xdr:rowOff>83344</xdr:rowOff>
    </xdr:from>
    <xdr:to>
      <xdr:col>10</xdr:col>
      <xdr:colOff>529166</xdr:colOff>
      <xdr:row>33</xdr:row>
      <xdr:rowOff>85461</xdr:rowOff>
    </xdr:to>
    <xdr:grpSp>
      <xdr:nvGrpSpPr>
        <xdr:cNvPr id="50" name="Grupo 49">
          <a:extLst>
            <a:ext uri="{FF2B5EF4-FFF2-40B4-BE49-F238E27FC236}">
              <a16:creationId xmlns:a16="http://schemas.microsoft.com/office/drawing/2014/main" id="{00000000-0008-0000-0C00-000032000000}"/>
            </a:ext>
          </a:extLst>
        </xdr:cNvPr>
        <xdr:cNvGrpSpPr/>
      </xdr:nvGrpSpPr>
      <xdr:grpSpPr>
        <a:xfrm>
          <a:off x="2487083" y="5988844"/>
          <a:ext cx="5662083" cy="383117"/>
          <a:chOff x="2719919" y="1100667"/>
          <a:chExt cx="5662083" cy="383117"/>
        </a:xfrm>
      </xdr:grpSpPr>
      <xdr:sp macro="" textlink="">
        <xdr:nvSpPr>
          <xdr:cNvPr id="51" name="Rectángulo: esquinas diagonales cortadas 50">
            <a:extLst>
              <a:ext uri="{FF2B5EF4-FFF2-40B4-BE49-F238E27FC236}">
                <a16:creationId xmlns:a16="http://schemas.microsoft.com/office/drawing/2014/main" id="{00000000-0008-0000-0C00-000033000000}"/>
              </a:ext>
            </a:extLst>
          </xdr:cNvPr>
          <xdr:cNvSpPr/>
        </xdr:nvSpPr>
        <xdr:spPr>
          <a:xfrm flipV="1">
            <a:off x="2921000" y="1100667"/>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2" name="CuadroTexto 51">
            <a:extLst>
              <a:ext uri="{FF2B5EF4-FFF2-40B4-BE49-F238E27FC236}">
                <a16:creationId xmlns:a16="http://schemas.microsoft.com/office/drawing/2014/main" id="{00000000-0008-0000-0C00-000034000000}"/>
              </a:ext>
            </a:extLst>
          </xdr:cNvPr>
          <xdr:cNvSpPr txBox="1"/>
        </xdr:nvSpPr>
        <xdr:spPr>
          <a:xfrm>
            <a:off x="2719919" y="1134721"/>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VOLUMEN</a:t>
            </a:r>
            <a:r>
              <a:rPr lang="es-CO" sz="1400" b="1" baseline="0">
                <a:solidFill>
                  <a:schemeClr val="bg1"/>
                </a:solidFill>
                <a:latin typeface="PT Sans Narrow" panose="020B0506020203020204" pitchFamily="34" charset="0"/>
              </a:rPr>
              <a:t> Y CAPACIDAD DE ALMACENAMIENTO</a:t>
            </a:r>
            <a:endParaRPr lang="es-CO" sz="1400" b="1">
              <a:solidFill>
                <a:schemeClr val="bg1"/>
              </a:solidFill>
              <a:latin typeface="PT Sans Narrow" panose="020B0506020203020204" pitchFamily="34" charset="0"/>
            </a:endParaRPr>
          </a:p>
          <a:p>
            <a:pPr algn="ctr"/>
            <a:endParaRPr lang="es-CO" sz="1400" b="1">
              <a:solidFill>
                <a:schemeClr val="bg1"/>
              </a:solidFill>
              <a:latin typeface="PT Sans Narrow" panose="020B0506020203020204" pitchFamily="34" charset="0"/>
            </a:endParaRPr>
          </a:p>
        </xdr:txBody>
      </xdr:sp>
    </xdr:grpSp>
    <xdr:clientData/>
  </xdr:twoCellAnchor>
  <xdr:twoCellAnchor>
    <xdr:from>
      <xdr:col>3</xdr:col>
      <xdr:colOff>201083</xdr:colOff>
      <xdr:row>37</xdr:row>
      <xdr:rowOff>95250</xdr:rowOff>
    </xdr:from>
    <xdr:to>
      <xdr:col>10</xdr:col>
      <xdr:colOff>529166</xdr:colOff>
      <xdr:row>39</xdr:row>
      <xdr:rowOff>97367</xdr:rowOff>
    </xdr:to>
    <xdr:grpSp>
      <xdr:nvGrpSpPr>
        <xdr:cNvPr id="53" name="Grupo 52">
          <a:extLst>
            <a:ext uri="{FF2B5EF4-FFF2-40B4-BE49-F238E27FC236}">
              <a16:creationId xmlns:a16="http://schemas.microsoft.com/office/drawing/2014/main" id="{00000000-0008-0000-0C00-000035000000}"/>
            </a:ext>
          </a:extLst>
        </xdr:cNvPr>
        <xdr:cNvGrpSpPr/>
      </xdr:nvGrpSpPr>
      <xdr:grpSpPr>
        <a:xfrm>
          <a:off x="2487083" y="7143750"/>
          <a:ext cx="5662083" cy="383117"/>
          <a:chOff x="2719919" y="1100667"/>
          <a:chExt cx="5662083" cy="383117"/>
        </a:xfrm>
      </xdr:grpSpPr>
      <xdr:sp macro="" textlink="">
        <xdr:nvSpPr>
          <xdr:cNvPr id="54" name="Rectángulo: esquinas diagonales cortadas 53">
            <a:extLst>
              <a:ext uri="{FF2B5EF4-FFF2-40B4-BE49-F238E27FC236}">
                <a16:creationId xmlns:a16="http://schemas.microsoft.com/office/drawing/2014/main" id="{00000000-0008-0000-0C00-000036000000}"/>
              </a:ext>
            </a:extLst>
          </xdr:cNvPr>
          <xdr:cNvSpPr/>
        </xdr:nvSpPr>
        <xdr:spPr>
          <a:xfrm flipV="1">
            <a:off x="2921000" y="1100667"/>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5" name="CuadroTexto 54">
            <a:extLst>
              <a:ext uri="{FF2B5EF4-FFF2-40B4-BE49-F238E27FC236}">
                <a16:creationId xmlns:a16="http://schemas.microsoft.com/office/drawing/2014/main" id="{00000000-0008-0000-0C00-000037000000}"/>
              </a:ext>
            </a:extLst>
          </xdr:cNvPr>
          <xdr:cNvSpPr txBox="1"/>
        </xdr:nvSpPr>
        <xdr:spPr>
          <a:xfrm>
            <a:off x="2719919" y="1134721"/>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PROFUNDIDADES RECOMENDADAS DE INSTALACIÓN</a:t>
            </a:r>
          </a:p>
          <a:p>
            <a:pPr algn="ctr"/>
            <a:endParaRPr lang="es-CO" sz="1400" b="1">
              <a:solidFill>
                <a:schemeClr val="bg1"/>
              </a:solidFill>
              <a:latin typeface="PT Sans Narrow" panose="020B0506020203020204" pitchFamily="34" charset="0"/>
            </a:endParaRPr>
          </a:p>
        </xdr:txBody>
      </xdr:sp>
    </xdr:grpSp>
    <xdr:clientData/>
  </xdr:twoCellAnchor>
  <xdr:twoCellAnchor>
    <xdr:from>
      <xdr:col>3</xdr:col>
      <xdr:colOff>201083</xdr:colOff>
      <xdr:row>43</xdr:row>
      <xdr:rowOff>95252</xdr:rowOff>
    </xdr:from>
    <xdr:to>
      <xdr:col>10</xdr:col>
      <xdr:colOff>529166</xdr:colOff>
      <xdr:row>45</xdr:row>
      <xdr:rowOff>97369</xdr:rowOff>
    </xdr:to>
    <xdr:grpSp>
      <xdr:nvGrpSpPr>
        <xdr:cNvPr id="56" name="Grupo 55">
          <a:extLst>
            <a:ext uri="{FF2B5EF4-FFF2-40B4-BE49-F238E27FC236}">
              <a16:creationId xmlns:a16="http://schemas.microsoft.com/office/drawing/2014/main" id="{00000000-0008-0000-0C00-000038000000}"/>
            </a:ext>
          </a:extLst>
        </xdr:cNvPr>
        <xdr:cNvGrpSpPr/>
      </xdr:nvGrpSpPr>
      <xdr:grpSpPr>
        <a:xfrm>
          <a:off x="2487083" y="8286752"/>
          <a:ext cx="5662083" cy="383117"/>
          <a:chOff x="2719919" y="1100667"/>
          <a:chExt cx="5662083" cy="383117"/>
        </a:xfrm>
      </xdr:grpSpPr>
      <xdr:sp macro="" textlink="">
        <xdr:nvSpPr>
          <xdr:cNvPr id="57" name="Rectángulo: esquinas diagonales cortadas 56">
            <a:extLst>
              <a:ext uri="{FF2B5EF4-FFF2-40B4-BE49-F238E27FC236}">
                <a16:creationId xmlns:a16="http://schemas.microsoft.com/office/drawing/2014/main" id="{00000000-0008-0000-0C00-000039000000}"/>
              </a:ext>
            </a:extLst>
          </xdr:cNvPr>
          <xdr:cNvSpPr/>
        </xdr:nvSpPr>
        <xdr:spPr>
          <a:xfrm flipV="1">
            <a:off x="2921000" y="1100667"/>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8" name="CuadroTexto 57">
            <a:extLst>
              <a:ext uri="{FF2B5EF4-FFF2-40B4-BE49-F238E27FC236}">
                <a16:creationId xmlns:a16="http://schemas.microsoft.com/office/drawing/2014/main" id="{00000000-0008-0000-0C00-00003A000000}"/>
              </a:ext>
            </a:extLst>
          </xdr:cNvPr>
          <xdr:cNvSpPr txBox="1"/>
        </xdr:nvSpPr>
        <xdr:spPr>
          <a:xfrm>
            <a:off x="2719919" y="1134721"/>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CARACTERÍSTICAS ADICIONALES</a:t>
            </a:r>
          </a:p>
          <a:p>
            <a:pPr algn="ctr"/>
            <a:endParaRPr lang="es-CO" sz="1400" b="1">
              <a:solidFill>
                <a:schemeClr val="bg1"/>
              </a:solidFill>
              <a:latin typeface="PT Sans Narrow" panose="020B0506020203020204" pitchFamily="34" charset="0"/>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669637</xdr:colOff>
      <xdr:row>50</xdr:row>
      <xdr:rowOff>102742</xdr:rowOff>
    </xdr:from>
    <xdr:to>
      <xdr:col>17</xdr:col>
      <xdr:colOff>854309</xdr:colOff>
      <xdr:row>54</xdr:row>
      <xdr:rowOff>122874</xdr:rowOff>
    </xdr:to>
    <xdr:pic>
      <xdr:nvPicPr>
        <xdr:cNvPr id="2" name="Imagen 1" descr="Pavco">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56825" y="9627742"/>
          <a:ext cx="1756297" cy="778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xdr:row>
      <xdr:rowOff>87639</xdr:rowOff>
    </xdr:from>
    <xdr:to>
      <xdr:col>4</xdr:col>
      <xdr:colOff>285750</xdr:colOff>
      <xdr:row>51</xdr:row>
      <xdr:rowOff>184269</xdr:rowOff>
    </xdr:to>
    <xdr:sp macro="" textlink="">
      <xdr:nvSpPr>
        <xdr:cNvPr id="3" name="CuadroTexto 2">
          <a:extLst>
            <a:ext uri="{FF2B5EF4-FFF2-40B4-BE49-F238E27FC236}">
              <a16:creationId xmlns:a16="http://schemas.microsoft.com/office/drawing/2014/main" id="{00000000-0008-0000-0D00-000003000000}"/>
            </a:ext>
          </a:extLst>
        </xdr:cNvPr>
        <xdr:cNvSpPr txBox="1"/>
      </xdr:nvSpPr>
      <xdr:spPr>
        <a:xfrm>
          <a:off x="0" y="5993139"/>
          <a:ext cx="3429000" cy="39066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i="0">
              <a:solidFill>
                <a:schemeClr val="bg1"/>
              </a:solidFill>
              <a:effectLst/>
              <a:latin typeface="PT Sans Narrow" panose="020B0506020203020204" pitchFamily="34" charset="0"/>
              <a:ea typeface="+mn-ea"/>
              <a:cs typeface="+mn-cs"/>
            </a:rPr>
            <a:t>Bogotá: Autopista Sur # 71-75.</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(601) 782 5000 Ext.:1101 Fax: +57 (601) 782 5020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Cali: Calle 64 Norte 5BN 46. Oficina R01, Centro Empresa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(602) 829 8969 EXT 2809</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Bucaramanga: Calle 30 # 22-129 Oficina 1802, Floridablanca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+57 314 330 2331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Barranquilla: Conmutador: +57 (605) 375 8100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0041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Itagüí - Antioquia: Calle 27 # 41-80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(604) 325 6660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Eje Cafetero: Carrera 17 # 5-58 Oficina 304 , Pereira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0025</a:t>
          </a:r>
          <a:endParaRPr lang="es-CO" sz="1200" b="1">
            <a:solidFill>
              <a:schemeClr val="bg1"/>
            </a:solidFill>
            <a:latin typeface="PT Sans Narrow" panose="020B0506020203020204" pitchFamily="34" charset="0"/>
          </a:endParaRPr>
        </a:p>
      </xdr:txBody>
    </xdr:sp>
    <xdr:clientData/>
  </xdr:twoCellAnchor>
  <xdr:twoCellAnchor>
    <xdr:from>
      <xdr:col>4</xdr:col>
      <xdr:colOff>776987</xdr:colOff>
      <xdr:row>53</xdr:row>
      <xdr:rowOff>11710</xdr:rowOff>
    </xdr:from>
    <xdr:to>
      <xdr:col>15</xdr:col>
      <xdr:colOff>48829</xdr:colOff>
      <xdr:row>54</xdr:row>
      <xdr:rowOff>162878</xdr:rowOff>
    </xdr:to>
    <xdr:sp macro="" textlink="">
      <xdr:nvSpPr>
        <xdr:cNvPr id="7" name="Forma libre: forma 6">
          <a:extLst>
            <a:ext uri="{FF2B5EF4-FFF2-40B4-BE49-F238E27FC236}">
              <a16:creationId xmlns:a16="http://schemas.microsoft.com/office/drawing/2014/main" id="{00000000-0008-0000-0D00-000007000000}"/>
            </a:ext>
          </a:extLst>
        </xdr:cNvPr>
        <xdr:cNvSpPr/>
      </xdr:nvSpPr>
      <xdr:spPr>
        <a:xfrm>
          <a:off x="3920237" y="10108210"/>
          <a:ext cx="7915780" cy="341668"/>
        </a:xfrm>
        <a:custGeom>
          <a:avLst/>
          <a:gdLst>
            <a:gd name="connsiteX0" fmla="*/ 0 w 6890994"/>
            <a:gd name="connsiteY0" fmla="*/ 0 h 363505"/>
            <a:gd name="connsiteX1" fmla="*/ 6890994 w 6890994"/>
            <a:gd name="connsiteY1" fmla="*/ 0 h 363505"/>
            <a:gd name="connsiteX2" fmla="*/ 6890994 w 6890994"/>
            <a:gd name="connsiteY2" fmla="*/ 73702 h 363505"/>
            <a:gd name="connsiteX3" fmla="*/ 6601228 w 6890994"/>
            <a:gd name="connsiteY3" fmla="*/ 363505 h 363505"/>
            <a:gd name="connsiteX4" fmla="*/ 289766 w 6890994"/>
            <a:gd name="connsiteY4" fmla="*/ 363505 h 363505"/>
            <a:gd name="connsiteX5" fmla="*/ 0 w 6890994"/>
            <a:gd name="connsiteY5" fmla="*/ 73702 h 3635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890994" h="363505">
              <a:moveTo>
                <a:pt x="0" y="0"/>
              </a:moveTo>
              <a:lnTo>
                <a:pt x="6890994" y="0"/>
              </a:lnTo>
              <a:lnTo>
                <a:pt x="6890994" y="73702"/>
              </a:lnTo>
              <a:cubicBezTo>
                <a:pt x="6890994" y="233755"/>
                <a:pt x="6761261" y="363505"/>
                <a:pt x="6601228" y="363505"/>
              </a:cubicBezTo>
              <a:lnTo>
                <a:pt x="289766" y="363505"/>
              </a:lnTo>
              <a:cubicBezTo>
                <a:pt x="129733" y="363505"/>
                <a:pt x="0" y="233755"/>
                <a:pt x="0" y="73702"/>
              </a:cubicBezTo>
              <a:close/>
            </a:path>
          </a:pathLst>
        </a:cu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clientData/>
  </xdr:twoCellAnchor>
  <xdr:twoCellAnchor>
    <xdr:from>
      <xdr:col>4</xdr:col>
      <xdr:colOff>773906</xdr:colOff>
      <xdr:row>51</xdr:row>
      <xdr:rowOff>84664</xdr:rowOff>
    </xdr:from>
    <xdr:to>
      <xdr:col>8</xdr:col>
      <xdr:colOff>407381</xdr:colOff>
      <xdr:row>54</xdr:row>
      <xdr:rowOff>186690</xdr:rowOff>
    </xdr:to>
    <xdr:sp macro="" textlink="">
      <xdr:nvSpPr>
        <xdr:cNvPr id="17" name="Marcador de texto 2">
          <a:extLst>
            <a:ext uri="{FF2B5EF4-FFF2-40B4-BE49-F238E27FC236}">
              <a16:creationId xmlns:a16="http://schemas.microsoft.com/office/drawing/2014/main" id="{00000000-0008-0000-0D00-000011000000}"/>
            </a:ext>
          </a:extLst>
        </xdr:cNvPr>
        <xdr:cNvSpPr>
          <a:spLocks noGrp="1"/>
        </xdr:cNvSpPr>
      </xdr:nvSpPr>
      <xdr:spPr>
        <a:xfrm flipH="1" flipV="1">
          <a:off x="3917156" y="9800164"/>
          <a:ext cx="2776725" cy="673526"/>
        </a:xfrm>
        <a:prstGeom prst="rect">
          <a:avLst/>
        </a:prstGeom>
        <a:blipFill>
          <a:blip xmlns:r="http://schemas.openxmlformats.org/officeDocument/2006/relationships" r:embed="rId2"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8</xdr:col>
      <xdr:colOff>408081</xdr:colOff>
      <xdr:row>51</xdr:row>
      <xdr:rowOff>84664</xdr:rowOff>
    </xdr:from>
    <xdr:to>
      <xdr:col>11</xdr:col>
      <xdr:colOff>598582</xdr:colOff>
      <xdr:row>55</xdr:row>
      <xdr:rowOff>17429</xdr:rowOff>
    </xdr:to>
    <xdr:sp macro="" textlink="">
      <xdr:nvSpPr>
        <xdr:cNvPr id="18" name="Marcador de texto 2">
          <a:extLst>
            <a:ext uri="{FF2B5EF4-FFF2-40B4-BE49-F238E27FC236}">
              <a16:creationId xmlns:a16="http://schemas.microsoft.com/office/drawing/2014/main" id="{00000000-0008-0000-0D00-000012000000}"/>
            </a:ext>
          </a:extLst>
        </xdr:cNvPr>
        <xdr:cNvSpPr>
          <a:spLocks noGrp="1"/>
        </xdr:cNvSpPr>
      </xdr:nvSpPr>
      <xdr:spPr>
        <a:xfrm>
          <a:off x="6504081" y="9800164"/>
          <a:ext cx="2476501" cy="694765"/>
        </a:xfrm>
        <a:prstGeom prst="rect">
          <a:avLst/>
        </a:prstGeom>
        <a:blipFill>
          <a:blip xmlns:r="http://schemas.openxmlformats.org/officeDocument/2006/relationships" r:embed="rId2"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13</xdr:col>
      <xdr:colOff>282328</xdr:colOff>
      <xdr:row>51</xdr:row>
      <xdr:rowOff>95240</xdr:rowOff>
    </xdr:from>
    <xdr:to>
      <xdr:col>15</xdr:col>
      <xdr:colOff>6851</xdr:colOff>
      <xdr:row>55</xdr:row>
      <xdr:rowOff>28005</xdr:rowOff>
    </xdr:to>
    <xdr:sp macro="" textlink="">
      <xdr:nvSpPr>
        <xdr:cNvPr id="19" name="Marcador de texto 2">
          <a:extLst>
            <a:ext uri="{FF2B5EF4-FFF2-40B4-BE49-F238E27FC236}">
              <a16:creationId xmlns:a16="http://schemas.microsoft.com/office/drawing/2014/main" id="{00000000-0008-0000-0D00-000013000000}"/>
            </a:ext>
          </a:extLst>
        </xdr:cNvPr>
        <xdr:cNvSpPr>
          <a:spLocks noGrp="1"/>
        </xdr:cNvSpPr>
      </xdr:nvSpPr>
      <xdr:spPr>
        <a:xfrm flipV="1">
          <a:off x="10188328" y="9810740"/>
          <a:ext cx="1248523" cy="694765"/>
        </a:xfrm>
        <a:prstGeom prst="rect">
          <a:avLst/>
        </a:prstGeom>
        <a:blipFill>
          <a:blip xmlns:r="http://schemas.openxmlformats.org/officeDocument/2006/relationships" r:embed="rId2"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17</xdr:col>
      <xdr:colOff>37446</xdr:colOff>
      <xdr:row>21</xdr:row>
      <xdr:rowOff>98678</xdr:rowOff>
    </xdr:from>
    <xdr:to>
      <xdr:col>17</xdr:col>
      <xdr:colOff>982503</xdr:colOff>
      <xdr:row>27</xdr:row>
      <xdr:rowOff>172795</xdr:rowOff>
    </xdr:to>
    <xdr:grpSp>
      <xdr:nvGrpSpPr>
        <xdr:cNvPr id="40" name="Boton Portada Up">
          <a:extLst>
            <a:ext uri="{FF2B5EF4-FFF2-40B4-BE49-F238E27FC236}">
              <a16:creationId xmlns:a16="http://schemas.microsoft.com/office/drawing/2014/main" id="{00000000-0008-0000-0D00-000028000000}"/>
            </a:ext>
          </a:extLst>
        </xdr:cNvPr>
        <xdr:cNvGrpSpPr/>
      </xdr:nvGrpSpPr>
      <xdr:grpSpPr>
        <a:xfrm>
          <a:off x="12991446" y="4099178"/>
          <a:ext cx="945057" cy="1217117"/>
          <a:chOff x="1725407" y="1124918"/>
          <a:chExt cx="1048614" cy="1520915"/>
        </a:xfrm>
      </xdr:grpSpPr>
      <xdr:sp macro="[0]!ADVERTENCIA" textlink="">
        <xdr:nvSpPr>
          <xdr:cNvPr id="41" name="Octágono 40">
            <a:extLst>
              <a:ext uri="{FF2B5EF4-FFF2-40B4-BE49-F238E27FC236}">
                <a16:creationId xmlns:a16="http://schemas.microsoft.com/office/drawing/2014/main" id="{00000000-0008-0000-0D00-000029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ADVERTENCIA" textlink="">
        <xdr:nvSpPr>
          <xdr:cNvPr id="42" name="CuadroTexto 41">
            <a:extLst>
              <a:ext uri="{FF2B5EF4-FFF2-40B4-BE49-F238E27FC236}">
                <a16:creationId xmlns:a16="http://schemas.microsoft.com/office/drawing/2014/main" id="{00000000-0008-0000-0D00-00002A000000}"/>
              </a:ext>
            </a:extLst>
          </xdr:cNvPr>
          <xdr:cNvSpPr txBox="1"/>
        </xdr:nvSpPr>
        <xdr:spPr>
          <a:xfrm>
            <a:off x="1725407" y="1124918"/>
            <a:ext cx="1048614" cy="1021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INICIO</a:t>
            </a:r>
          </a:p>
        </xdr:txBody>
      </xdr:sp>
      <xdr:pic macro="[0]!ADVERTENCIA">
        <xdr:nvPicPr>
          <xdr:cNvPr id="43" name="Imagen 42">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twoCellAnchor>
    <xdr:from>
      <xdr:col>4</xdr:col>
      <xdr:colOff>740833</xdr:colOff>
      <xdr:row>0</xdr:row>
      <xdr:rowOff>126998</xdr:rowOff>
    </xdr:from>
    <xdr:to>
      <xdr:col>15</xdr:col>
      <xdr:colOff>1245</xdr:colOff>
      <xdr:row>2</xdr:row>
      <xdr:rowOff>109503</xdr:rowOff>
    </xdr:to>
    <xdr:sp macro="" textlink="">
      <xdr:nvSpPr>
        <xdr:cNvPr id="57" name="Forma libre: forma 56">
          <a:extLst>
            <a:ext uri="{FF2B5EF4-FFF2-40B4-BE49-F238E27FC236}">
              <a16:creationId xmlns:a16="http://schemas.microsoft.com/office/drawing/2014/main" id="{00000000-0008-0000-0D00-000039000000}"/>
            </a:ext>
          </a:extLst>
        </xdr:cNvPr>
        <xdr:cNvSpPr/>
      </xdr:nvSpPr>
      <xdr:spPr>
        <a:xfrm rot="10800000">
          <a:off x="3788833" y="126998"/>
          <a:ext cx="7642412" cy="363505"/>
        </a:xfrm>
        <a:custGeom>
          <a:avLst/>
          <a:gdLst>
            <a:gd name="connsiteX0" fmla="*/ 0 w 6890994"/>
            <a:gd name="connsiteY0" fmla="*/ 0 h 363505"/>
            <a:gd name="connsiteX1" fmla="*/ 6890994 w 6890994"/>
            <a:gd name="connsiteY1" fmla="*/ 0 h 363505"/>
            <a:gd name="connsiteX2" fmla="*/ 6890994 w 6890994"/>
            <a:gd name="connsiteY2" fmla="*/ 73702 h 363505"/>
            <a:gd name="connsiteX3" fmla="*/ 6601228 w 6890994"/>
            <a:gd name="connsiteY3" fmla="*/ 363505 h 363505"/>
            <a:gd name="connsiteX4" fmla="*/ 289766 w 6890994"/>
            <a:gd name="connsiteY4" fmla="*/ 363505 h 363505"/>
            <a:gd name="connsiteX5" fmla="*/ 0 w 6890994"/>
            <a:gd name="connsiteY5" fmla="*/ 73702 h 3635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890994" h="363505">
              <a:moveTo>
                <a:pt x="0" y="0"/>
              </a:moveTo>
              <a:lnTo>
                <a:pt x="6890994" y="0"/>
              </a:lnTo>
              <a:lnTo>
                <a:pt x="6890994" y="73702"/>
              </a:lnTo>
              <a:cubicBezTo>
                <a:pt x="6890994" y="233755"/>
                <a:pt x="6761261" y="363505"/>
                <a:pt x="6601228" y="363505"/>
              </a:cubicBezTo>
              <a:lnTo>
                <a:pt x="289766" y="363505"/>
              </a:lnTo>
              <a:cubicBezTo>
                <a:pt x="129733" y="363505"/>
                <a:pt x="0" y="233755"/>
                <a:pt x="0" y="73702"/>
              </a:cubicBezTo>
              <a:close/>
            </a:path>
          </a:pathLst>
        </a:cu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clientData/>
  </xdr:twoCellAnchor>
  <xdr:twoCellAnchor>
    <xdr:from>
      <xdr:col>5</xdr:col>
      <xdr:colOff>3</xdr:colOff>
      <xdr:row>0</xdr:row>
      <xdr:rowOff>127006</xdr:rowOff>
    </xdr:from>
    <xdr:to>
      <xdr:col>8</xdr:col>
      <xdr:colOff>419291</xdr:colOff>
      <xdr:row>4</xdr:row>
      <xdr:rowOff>59771</xdr:rowOff>
    </xdr:to>
    <xdr:sp macro="" textlink="">
      <xdr:nvSpPr>
        <xdr:cNvPr id="52" name="Marcador de texto 2">
          <a:extLst>
            <a:ext uri="{FF2B5EF4-FFF2-40B4-BE49-F238E27FC236}">
              <a16:creationId xmlns:a16="http://schemas.microsoft.com/office/drawing/2014/main" id="{00000000-0008-0000-0D00-000034000000}"/>
            </a:ext>
          </a:extLst>
        </xdr:cNvPr>
        <xdr:cNvSpPr>
          <a:spLocks noGrp="1"/>
        </xdr:cNvSpPr>
      </xdr:nvSpPr>
      <xdr:spPr>
        <a:xfrm flipH="1">
          <a:off x="3810003" y="127006"/>
          <a:ext cx="2705288" cy="694765"/>
        </a:xfrm>
        <a:prstGeom prst="rect">
          <a:avLst/>
        </a:prstGeom>
        <a:blipFill>
          <a:blip xmlns:r="http://schemas.openxmlformats.org/officeDocument/2006/relationships" r:embed="rId2"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8</xdr:col>
      <xdr:colOff>408084</xdr:colOff>
      <xdr:row>0</xdr:row>
      <xdr:rowOff>127006</xdr:rowOff>
    </xdr:from>
    <xdr:to>
      <xdr:col>11</xdr:col>
      <xdr:colOff>598585</xdr:colOff>
      <xdr:row>4</xdr:row>
      <xdr:rowOff>59771</xdr:rowOff>
    </xdr:to>
    <xdr:sp macro="" textlink="">
      <xdr:nvSpPr>
        <xdr:cNvPr id="53" name="Marcador de texto 2">
          <a:extLst>
            <a:ext uri="{FF2B5EF4-FFF2-40B4-BE49-F238E27FC236}">
              <a16:creationId xmlns:a16="http://schemas.microsoft.com/office/drawing/2014/main" id="{00000000-0008-0000-0D00-000035000000}"/>
            </a:ext>
          </a:extLst>
        </xdr:cNvPr>
        <xdr:cNvSpPr>
          <a:spLocks noGrp="1"/>
        </xdr:cNvSpPr>
      </xdr:nvSpPr>
      <xdr:spPr>
        <a:xfrm flipV="1">
          <a:off x="6504084" y="127006"/>
          <a:ext cx="2476501" cy="694765"/>
        </a:xfrm>
        <a:prstGeom prst="rect">
          <a:avLst/>
        </a:prstGeom>
        <a:blipFill>
          <a:blip xmlns:r="http://schemas.openxmlformats.org/officeDocument/2006/relationships" r:embed="rId2"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13</xdr:col>
      <xdr:colOff>271747</xdr:colOff>
      <xdr:row>0</xdr:row>
      <xdr:rowOff>137589</xdr:rowOff>
    </xdr:from>
    <xdr:to>
      <xdr:col>14</xdr:col>
      <xdr:colOff>758270</xdr:colOff>
      <xdr:row>4</xdr:row>
      <xdr:rowOff>70354</xdr:rowOff>
    </xdr:to>
    <xdr:sp macro="" textlink="">
      <xdr:nvSpPr>
        <xdr:cNvPr id="54" name="Marcador de texto 2">
          <a:extLst>
            <a:ext uri="{FF2B5EF4-FFF2-40B4-BE49-F238E27FC236}">
              <a16:creationId xmlns:a16="http://schemas.microsoft.com/office/drawing/2014/main" id="{00000000-0008-0000-0D00-000036000000}"/>
            </a:ext>
          </a:extLst>
        </xdr:cNvPr>
        <xdr:cNvSpPr>
          <a:spLocks noGrp="1"/>
        </xdr:cNvSpPr>
      </xdr:nvSpPr>
      <xdr:spPr>
        <a:xfrm>
          <a:off x="10177747" y="137589"/>
          <a:ext cx="1248523" cy="694765"/>
        </a:xfrm>
        <a:prstGeom prst="rect">
          <a:avLst/>
        </a:prstGeom>
        <a:blipFill>
          <a:blip xmlns:r="http://schemas.openxmlformats.org/officeDocument/2006/relationships" r:embed="rId2"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11</xdr:col>
      <xdr:colOff>444501</xdr:colOff>
      <xdr:row>0</xdr:row>
      <xdr:rowOff>137587</xdr:rowOff>
    </xdr:from>
    <xdr:to>
      <xdr:col>13</xdr:col>
      <xdr:colOff>275167</xdr:colOff>
      <xdr:row>4</xdr:row>
      <xdr:rowOff>70352</xdr:rowOff>
    </xdr:to>
    <xdr:sp macro="" textlink="">
      <xdr:nvSpPr>
        <xdr:cNvPr id="55" name="Marcador de texto 2">
          <a:extLst>
            <a:ext uri="{FF2B5EF4-FFF2-40B4-BE49-F238E27FC236}">
              <a16:creationId xmlns:a16="http://schemas.microsoft.com/office/drawing/2014/main" id="{00000000-0008-0000-0D00-000037000000}"/>
            </a:ext>
          </a:extLst>
        </xdr:cNvPr>
        <xdr:cNvSpPr>
          <a:spLocks noGrp="1"/>
        </xdr:cNvSpPr>
      </xdr:nvSpPr>
      <xdr:spPr>
        <a:xfrm flipH="1">
          <a:off x="8826501" y="137587"/>
          <a:ext cx="1354666" cy="694765"/>
        </a:xfrm>
        <a:prstGeom prst="rect">
          <a:avLst/>
        </a:prstGeom>
        <a:blipFill>
          <a:blip xmlns:r="http://schemas.openxmlformats.org/officeDocument/2006/relationships" r:embed="rId2" cstate="email">
            <a:extLst>
              <a:ext uri="{28A0092B-C50C-407E-A947-70E740481C1C}">
                <a14:useLocalDpi xmlns:a14="http://schemas.microsoft.com/office/drawing/2010/main"/>
              </a:ext>
            </a:extLst>
          </a:blip>
          <a:srcRect/>
          <a:stretch>
            <a:fillRect l="-8182" r="-91521"/>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11</xdr:col>
      <xdr:colOff>444498</xdr:colOff>
      <xdr:row>51</xdr:row>
      <xdr:rowOff>95245</xdr:rowOff>
    </xdr:from>
    <xdr:to>
      <xdr:col>13</xdr:col>
      <xdr:colOff>275164</xdr:colOff>
      <xdr:row>55</xdr:row>
      <xdr:rowOff>28010</xdr:rowOff>
    </xdr:to>
    <xdr:sp macro="" textlink="">
      <xdr:nvSpPr>
        <xdr:cNvPr id="20" name="Marcador de texto 2">
          <a:extLst>
            <a:ext uri="{FF2B5EF4-FFF2-40B4-BE49-F238E27FC236}">
              <a16:creationId xmlns:a16="http://schemas.microsoft.com/office/drawing/2014/main" id="{00000000-0008-0000-0D00-000014000000}"/>
            </a:ext>
          </a:extLst>
        </xdr:cNvPr>
        <xdr:cNvSpPr>
          <a:spLocks noGrp="1"/>
        </xdr:cNvSpPr>
      </xdr:nvSpPr>
      <xdr:spPr>
        <a:xfrm flipH="1" flipV="1">
          <a:off x="8826498" y="9810745"/>
          <a:ext cx="1354666" cy="694765"/>
        </a:xfrm>
        <a:prstGeom prst="rect">
          <a:avLst/>
        </a:prstGeom>
        <a:blipFill>
          <a:blip xmlns:r="http://schemas.openxmlformats.org/officeDocument/2006/relationships" r:embed="rId2" cstate="email">
            <a:extLst>
              <a:ext uri="{28A0092B-C50C-407E-A947-70E740481C1C}">
                <a14:useLocalDpi xmlns:a14="http://schemas.microsoft.com/office/drawing/2010/main"/>
              </a:ext>
            </a:extLst>
          </a:blip>
          <a:srcRect/>
          <a:stretch>
            <a:fillRect l="-8182" r="-91521"/>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3</xdr:col>
      <xdr:colOff>201083</xdr:colOff>
      <xdr:row>5</xdr:row>
      <xdr:rowOff>116416</xdr:rowOff>
    </xdr:from>
    <xdr:to>
      <xdr:col>10</xdr:col>
      <xdr:colOff>529166</xdr:colOff>
      <xdr:row>7</xdr:row>
      <xdr:rowOff>118533</xdr:rowOff>
    </xdr:to>
    <xdr:grpSp>
      <xdr:nvGrpSpPr>
        <xdr:cNvPr id="58" name="Grupo 57">
          <a:extLst>
            <a:ext uri="{FF2B5EF4-FFF2-40B4-BE49-F238E27FC236}">
              <a16:creationId xmlns:a16="http://schemas.microsoft.com/office/drawing/2014/main" id="{00000000-0008-0000-0D00-00003A000000}"/>
            </a:ext>
          </a:extLst>
        </xdr:cNvPr>
        <xdr:cNvGrpSpPr/>
      </xdr:nvGrpSpPr>
      <xdr:grpSpPr>
        <a:xfrm>
          <a:off x="2487083" y="1068916"/>
          <a:ext cx="5662083" cy="383117"/>
          <a:chOff x="2719919" y="1100667"/>
          <a:chExt cx="5662083" cy="383117"/>
        </a:xfrm>
      </xdr:grpSpPr>
      <xdr:sp macro="" textlink="">
        <xdr:nvSpPr>
          <xdr:cNvPr id="59" name="Rectángulo: esquinas diagonales cortadas 58">
            <a:extLst>
              <a:ext uri="{FF2B5EF4-FFF2-40B4-BE49-F238E27FC236}">
                <a16:creationId xmlns:a16="http://schemas.microsoft.com/office/drawing/2014/main" id="{00000000-0008-0000-0D00-00003B000000}"/>
              </a:ext>
            </a:extLst>
          </xdr:cNvPr>
          <xdr:cNvSpPr/>
        </xdr:nvSpPr>
        <xdr:spPr>
          <a:xfrm flipV="1">
            <a:off x="2921000" y="1100667"/>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60" name="CuadroTexto 59">
            <a:extLst>
              <a:ext uri="{FF2B5EF4-FFF2-40B4-BE49-F238E27FC236}">
                <a16:creationId xmlns:a16="http://schemas.microsoft.com/office/drawing/2014/main" id="{00000000-0008-0000-0D00-00003C000000}"/>
              </a:ext>
            </a:extLst>
          </xdr:cNvPr>
          <xdr:cNvSpPr txBox="1"/>
        </xdr:nvSpPr>
        <xdr:spPr>
          <a:xfrm>
            <a:off x="2719919" y="1134721"/>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HIDROGRAMA Y</a:t>
            </a:r>
            <a:r>
              <a:rPr lang="es-CO" sz="1400" b="1" baseline="0">
                <a:solidFill>
                  <a:schemeClr val="bg1"/>
                </a:solidFill>
                <a:latin typeface="PT Sans Narrow" panose="020B0506020203020204" pitchFamily="34" charset="0"/>
              </a:rPr>
              <a:t> ESTIMACIÓN DE VOLUMEN DE ALMACENAMIENTO</a:t>
            </a:r>
            <a:endParaRPr lang="es-CO" sz="1400" b="1">
              <a:solidFill>
                <a:schemeClr val="bg1"/>
              </a:solidFill>
              <a:latin typeface="PT Sans Narrow" panose="020B0506020203020204" pitchFamily="34" charset="0"/>
            </a:endParaRPr>
          </a:p>
        </xdr:txBody>
      </xdr:sp>
    </xdr:grpSp>
    <xdr:clientData/>
  </xdr:twoCellAnchor>
  <xdr:twoCellAnchor>
    <xdr:from>
      <xdr:col>3</xdr:col>
      <xdr:colOff>211667</xdr:colOff>
      <xdr:row>18</xdr:row>
      <xdr:rowOff>74083</xdr:rowOff>
    </xdr:from>
    <xdr:to>
      <xdr:col>10</xdr:col>
      <xdr:colOff>539750</xdr:colOff>
      <xdr:row>20</xdr:row>
      <xdr:rowOff>76200</xdr:rowOff>
    </xdr:to>
    <xdr:grpSp>
      <xdr:nvGrpSpPr>
        <xdr:cNvPr id="24" name="Grupo 23">
          <a:extLst>
            <a:ext uri="{FF2B5EF4-FFF2-40B4-BE49-F238E27FC236}">
              <a16:creationId xmlns:a16="http://schemas.microsoft.com/office/drawing/2014/main" id="{00000000-0008-0000-0D00-000018000000}"/>
            </a:ext>
          </a:extLst>
        </xdr:cNvPr>
        <xdr:cNvGrpSpPr/>
      </xdr:nvGrpSpPr>
      <xdr:grpSpPr>
        <a:xfrm>
          <a:off x="2497667" y="3503083"/>
          <a:ext cx="5662083" cy="383117"/>
          <a:chOff x="2719919" y="1100667"/>
          <a:chExt cx="5662083" cy="383117"/>
        </a:xfrm>
      </xdr:grpSpPr>
      <xdr:sp macro="" textlink="">
        <xdr:nvSpPr>
          <xdr:cNvPr id="25" name="Rectángulo: esquinas diagonales cortadas 24">
            <a:extLst>
              <a:ext uri="{FF2B5EF4-FFF2-40B4-BE49-F238E27FC236}">
                <a16:creationId xmlns:a16="http://schemas.microsoft.com/office/drawing/2014/main" id="{00000000-0008-0000-0D00-000019000000}"/>
              </a:ext>
            </a:extLst>
          </xdr:cNvPr>
          <xdr:cNvSpPr/>
        </xdr:nvSpPr>
        <xdr:spPr>
          <a:xfrm flipV="1">
            <a:off x="2921000" y="1100667"/>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CuadroTexto 25">
            <a:extLst>
              <a:ext uri="{FF2B5EF4-FFF2-40B4-BE49-F238E27FC236}">
                <a16:creationId xmlns:a16="http://schemas.microsoft.com/office/drawing/2014/main" id="{00000000-0008-0000-0D00-00001A000000}"/>
              </a:ext>
            </a:extLst>
          </xdr:cNvPr>
          <xdr:cNvSpPr txBox="1"/>
        </xdr:nvSpPr>
        <xdr:spPr>
          <a:xfrm>
            <a:off x="2719919" y="1134721"/>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MÉTODO DE INFILTRACIÓN Y TABLAS DE COEFICIENTES</a:t>
            </a:r>
          </a:p>
        </xdr:txBody>
      </xdr:sp>
    </xdr:grpSp>
    <xdr:clientData/>
  </xdr:twoCellAnchor>
  <xdr:twoCellAnchor>
    <xdr:from>
      <xdr:col>3</xdr:col>
      <xdr:colOff>349250</xdr:colOff>
      <xdr:row>32</xdr:row>
      <xdr:rowOff>95250</xdr:rowOff>
    </xdr:from>
    <xdr:to>
      <xdr:col>10</xdr:col>
      <xdr:colOff>677333</xdr:colOff>
      <xdr:row>34</xdr:row>
      <xdr:rowOff>97367</xdr:rowOff>
    </xdr:to>
    <xdr:grpSp>
      <xdr:nvGrpSpPr>
        <xdr:cNvPr id="27" name="Grupo 26">
          <a:extLst>
            <a:ext uri="{FF2B5EF4-FFF2-40B4-BE49-F238E27FC236}">
              <a16:creationId xmlns:a16="http://schemas.microsoft.com/office/drawing/2014/main" id="{00000000-0008-0000-0D00-00001B000000}"/>
            </a:ext>
          </a:extLst>
        </xdr:cNvPr>
        <xdr:cNvGrpSpPr/>
      </xdr:nvGrpSpPr>
      <xdr:grpSpPr>
        <a:xfrm>
          <a:off x="2635250" y="6191250"/>
          <a:ext cx="5662083" cy="383117"/>
          <a:chOff x="2719919" y="1100667"/>
          <a:chExt cx="5662083" cy="383117"/>
        </a:xfrm>
      </xdr:grpSpPr>
      <xdr:sp macro="" textlink="">
        <xdr:nvSpPr>
          <xdr:cNvPr id="28" name="Rectángulo: esquinas diagonales cortadas 27">
            <a:extLst>
              <a:ext uri="{FF2B5EF4-FFF2-40B4-BE49-F238E27FC236}">
                <a16:creationId xmlns:a16="http://schemas.microsoft.com/office/drawing/2014/main" id="{00000000-0008-0000-0D00-00001C000000}"/>
              </a:ext>
            </a:extLst>
          </xdr:cNvPr>
          <xdr:cNvSpPr/>
        </xdr:nvSpPr>
        <xdr:spPr>
          <a:xfrm flipV="1">
            <a:off x="2921000" y="1100667"/>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9" name="CuadroTexto 28">
            <a:extLst>
              <a:ext uri="{FF2B5EF4-FFF2-40B4-BE49-F238E27FC236}">
                <a16:creationId xmlns:a16="http://schemas.microsoft.com/office/drawing/2014/main" id="{00000000-0008-0000-0D00-00001D000000}"/>
              </a:ext>
            </a:extLst>
          </xdr:cNvPr>
          <xdr:cNvSpPr txBox="1"/>
        </xdr:nvSpPr>
        <xdr:spPr>
          <a:xfrm>
            <a:off x="2719919" y="1134721"/>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ICONOS</a:t>
            </a:r>
            <a:r>
              <a:rPr lang="es-CO" sz="1400" b="1" baseline="0">
                <a:solidFill>
                  <a:schemeClr val="bg1"/>
                </a:solidFill>
                <a:latin typeface="PT Sans Narrow" panose="020B0506020203020204" pitchFamily="34" charset="0"/>
              </a:rPr>
              <a:t> E IMAGENES</a:t>
            </a:r>
            <a:endParaRPr lang="es-CO" sz="1400" b="1">
              <a:solidFill>
                <a:schemeClr val="bg1"/>
              </a:solidFill>
              <a:latin typeface="PT Sans Narrow" panose="020B0506020203020204" pitchFamily="34" charset="0"/>
            </a:endParaRPr>
          </a:p>
        </xdr:txBody>
      </xdr:sp>
    </xdr:grpSp>
    <xdr:clientData/>
  </xdr:twoCellAnchor>
  <xdr:twoCellAnchor>
    <xdr:from>
      <xdr:col>5</xdr:col>
      <xdr:colOff>23812</xdr:colOff>
      <xdr:row>15</xdr:row>
      <xdr:rowOff>59531</xdr:rowOff>
    </xdr:from>
    <xdr:to>
      <xdr:col>14</xdr:col>
      <xdr:colOff>738187</xdr:colOff>
      <xdr:row>17</xdr:row>
      <xdr:rowOff>142875</xdr:rowOff>
    </xdr:to>
    <xdr:sp macro="" textlink="">
      <xdr:nvSpPr>
        <xdr:cNvPr id="8" name="Rectángulo 7">
          <a:hlinkClick xmlns:r="http://schemas.openxmlformats.org/officeDocument/2006/relationships" r:id="rId4"/>
          <a:extLst>
            <a:ext uri="{FF2B5EF4-FFF2-40B4-BE49-F238E27FC236}">
              <a16:creationId xmlns:a16="http://schemas.microsoft.com/office/drawing/2014/main" id="{00000000-0008-0000-0D00-000008000000}"/>
            </a:ext>
          </a:extLst>
        </xdr:cNvPr>
        <xdr:cNvSpPr/>
      </xdr:nvSpPr>
      <xdr:spPr>
        <a:xfrm>
          <a:off x="3833812" y="2917031"/>
          <a:ext cx="7572375" cy="464344"/>
        </a:xfrm>
        <a:prstGeom prst="rect">
          <a:avLst/>
        </a:prstGeom>
        <a:noFill/>
        <a:ln>
          <a:solidFill>
            <a:srgbClr val="2B2B6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0</xdr:colOff>
      <xdr:row>27</xdr:row>
      <xdr:rowOff>190499</xdr:rowOff>
    </xdr:from>
    <xdr:to>
      <xdr:col>14</xdr:col>
      <xdr:colOff>714375</xdr:colOff>
      <xdr:row>31</xdr:row>
      <xdr:rowOff>130968</xdr:rowOff>
    </xdr:to>
    <xdr:sp macro="" textlink="">
      <xdr:nvSpPr>
        <xdr:cNvPr id="32" name="Rectángulo 31">
          <a:hlinkClick xmlns:r="http://schemas.openxmlformats.org/officeDocument/2006/relationships" r:id="rId5"/>
          <a:extLst>
            <a:ext uri="{FF2B5EF4-FFF2-40B4-BE49-F238E27FC236}">
              <a16:creationId xmlns:a16="http://schemas.microsoft.com/office/drawing/2014/main" id="{00000000-0008-0000-0D00-000020000000}"/>
            </a:ext>
          </a:extLst>
        </xdr:cNvPr>
        <xdr:cNvSpPr/>
      </xdr:nvSpPr>
      <xdr:spPr>
        <a:xfrm>
          <a:off x="3810000" y="5333999"/>
          <a:ext cx="7572375" cy="702469"/>
        </a:xfrm>
        <a:prstGeom prst="rect">
          <a:avLst/>
        </a:prstGeom>
        <a:noFill/>
        <a:ln>
          <a:solidFill>
            <a:srgbClr val="2B2B6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140236</xdr:colOff>
      <xdr:row>51</xdr:row>
      <xdr:rowOff>176217</xdr:rowOff>
    </xdr:from>
    <xdr:to>
      <xdr:col>2</xdr:col>
      <xdr:colOff>514656</xdr:colOff>
      <xdr:row>53</xdr:row>
      <xdr:rowOff>143787</xdr:rowOff>
    </xdr:to>
    <xdr:pic>
      <xdr:nvPicPr>
        <xdr:cNvPr id="9" name="Imagen 8">
          <a:hlinkClick xmlns:r="http://schemas.openxmlformats.org/officeDocument/2006/relationships" r:id="rId6"/>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11861" y="9891717"/>
          <a:ext cx="374420" cy="352380"/>
        </a:xfrm>
        <a:prstGeom prst="rect">
          <a:avLst/>
        </a:prstGeom>
      </xdr:spPr>
    </xdr:pic>
    <xdr:clientData/>
  </xdr:twoCellAnchor>
  <xdr:twoCellAnchor editAs="oneCell">
    <xdr:from>
      <xdr:col>0</xdr:col>
      <xdr:colOff>406723</xdr:colOff>
      <xdr:row>51</xdr:row>
      <xdr:rowOff>176217</xdr:rowOff>
    </xdr:from>
    <xdr:to>
      <xdr:col>0</xdr:col>
      <xdr:colOff>781187</xdr:colOff>
      <xdr:row>53</xdr:row>
      <xdr:rowOff>143787</xdr:rowOff>
    </xdr:to>
    <xdr:pic>
      <xdr:nvPicPr>
        <xdr:cNvPr id="10" name="Imagen 9">
          <a:hlinkClick xmlns:r="http://schemas.openxmlformats.org/officeDocument/2006/relationships" r:id="rId8"/>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6723" y="9891717"/>
          <a:ext cx="366844" cy="352380"/>
        </a:xfrm>
        <a:prstGeom prst="rect">
          <a:avLst/>
        </a:prstGeom>
      </xdr:spPr>
    </xdr:pic>
    <xdr:clientData/>
  </xdr:twoCellAnchor>
  <xdr:twoCellAnchor editAs="oneCell">
    <xdr:from>
      <xdr:col>1</xdr:col>
      <xdr:colOff>254693</xdr:colOff>
      <xdr:row>52</xdr:row>
      <xdr:rowOff>71228</xdr:rowOff>
    </xdr:from>
    <xdr:to>
      <xdr:col>1</xdr:col>
      <xdr:colOff>637203</xdr:colOff>
      <xdr:row>53</xdr:row>
      <xdr:rowOff>181673</xdr:rowOff>
    </xdr:to>
    <xdr:pic>
      <xdr:nvPicPr>
        <xdr:cNvPr id="11" name="Imagen 10">
          <a:hlinkClick xmlns:r="http://schemas.openxmlformats.org/officeDocument/2006/relationships" r:id="rId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40506" y="9977228"/>
          <a:ext cx="386320" cy="30475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666750</xdr:colOff>
      <xdr:row>6</xdr:row>
      <xdr:rowOff>243416</xdr:rowOff>
    </xdr:from>
    <xdr:to>
      <xdr:col>6</xdr:col>
      <xdr:colOff>899583</xdr:colOff>
      <xdr:row>11</xdr:row>
      <xdr:rowOff>120471</xdr:rowOff>
    </xdr:to>
    <xdr:grpSp>
      <xdr:nvGrpSpPr>
        <xdr:cNvPr id="2" name="Boton Infiltración Up">
          <a:extLst>
            <a:ext uri="{FF2B5EF4-FFF2-40B4-BE49-F238E27FC236}">
              <a16:creationId xmlns:a16="http://schemas.microsoft.com/office/drawing/2014/main" id="{00000000-0008-0000-0E00-000002000000}"/>
            </a:ext>
          </a:extLst>
        </xdr:cNvPr>
        <xdr:cNvGrpSpPr/>
      </xdr:nvGrpSpPr>
      <xdr:grpSpPr>
        <a:xfrm>
          <a:off x="8429625" y="1767416"/>
          <a:ext cx="994833" cy="1210555"/>
          <a:chOff x="1701864" y="1111504"/>
          <a:chExt cx="1106508" cy="1534329"/>
        </a:xfrm>
      </xdr:grpSpPr>
      <xdr:sp macro="[0]!INF" textlink="">
        <xdr:nvSpPr>
          <xdr:cNvPr id="3" name="Octágono 2">
            <a:extLst>
              <a:ext uri="{FF2B5EF4-FFF2-40B4-BE49-F238E27FC236}">
                <a16:creationId xmlns:a16="http://schemas.microsoft.com/office/drawing/2014/main" id="{00000000-0008-0000-0E00-000003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INF" textlink="">
        <xdr:nvSpPr>
          <xdr:cNvPr id="4" name="CuadroTexto 3">
            <a:extLst>
              <a:ext uri="{FF2B5EF4-FFF2-40B4-BE49-F238E27FC236}">
                <a16:creationId xmlns:a16="http://schemas.microsoft.com/office/drawing/2014/main" id="{00000000-0008-0000-0E00-000004000000}"/>
              </a:ext>
            </a:extLst>
          </xdr:cNvPr>
          <xdr:cNvSpPr txBox="1"/>
        </xdr:nvSpPr>
        <xdr:spPr>
          <a:xfrm>
            <a:off x="1701864" y="1111504"/>
            <a:ext cx="1106508" cy="1021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INFILTRACIÓN</a:t>
            </a:r>
          </a:p>
        </xdr:txBody>
      </xdr:sp>
      <xdr:pic macro="[0]!INF">
        <xdr:nvPicPr>
          <xdr:cNvPr id="5" name="Imagen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752475</xdr:colOff>
      <xdr:row>2</xdr:row>
      <xdr:rowOff>114300</xdr:rowOff>
    </xdr:from>
    <xdr:to>
      <xdr:col>7</xdr:col>
      <xdr:colOff>1004358</xdr:colOff>
      <xdr:row>8</xdr:row>
      <xdr:rowOff>143755</xdr:rowOff>
    </xdr:to>
    <xdr:grpSp>
      <xdr:nvGrpSpPr>
        <xdr:cNvPr id="6" name="Boton Infiltración Up">
          <a:extLst>
            <a:ext uri="{FF2B5EF4-FFF2-40B4-BE49-F238E27FC236}">
              <a16:creationId xmlns:a16="http://schemas.microsoft.com/office/drawing/2014/main" id="{00000000-0008-0000-0F00-000006000000}"/>
            </a:ext>
          </a:extLst>
        </xdr:cNvPr>
        <xdr:cNvGrpSpPr/>
      </xdr:nvGrpSpPr>
      <xdr:grpSpPr>
        <a:xfrm>
          <a:off x="8243888" y="495300"/>
          <a:ext cx="999595" cy="1184361"/>
          <a:chOff x="1701864" y="1111504"/>
          <a:chExt cx="1106508" cy="1534329"/>
        </a:xfrm>
      </xdr:grpSpPr>
      <xdr:sp macro="[0]!D" textlink="">
        <xdr:nvSpPr>
          <xdr:cNvPr id="7" name="Octágono 6">
            <a:extLst>
              <a:ext uri="{FF2B5EF4-FFF2-40B4-BE49-F238E27FC236}">
                <a16:creationId xmlns:a16="http://schemas.microsoft.com/office/drawing/2014/main" id="{00000000-0008-0000-0F00-000007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D" textlink="">
        <xdr:nvSpPr>
          <xdr:cNvPr id="8" name="CuadroTexto 7">
            <a:extLst>
              <a:ext uri="{FF2B5EF4-FFF2-40B4-BE49-F238E27FC236}">
                <a16:creationId xmlns:a16="http://schemas.microsoft.com/office/drawing/2014/main" id="{00000000-0008-0000-0F00-000008000000}"/>
              </a:ext>
            </a:extLst>
          </xdr:cNvPr>
          <xdr:cNvSpPr txBox="1"/>
        </xdr:nvSpPr>
        <xdr:spPr>
          <a:xfrm>
            <a:off x="1701864" y="1111504"/>
            <a:ext cx="1106508" cy="1021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DIMENSION</a:t>
            </a:r>
          </a:p>
        </xdr:txBody>
      </xdr:sp>
      <xdr:pic macro="[0]!D">
        <xdr:nvPicPr>
          <xdr:cNvPr id="9" name="Imagen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581025</xdr:colOff>
      <xdr:row>18</xdr:row>
      <xdr:rowOff>152400</xdr:rowOff>
    </xdr:from>
    <xdr:to>
      <xdr:col>2</xdr:col>
      <xdr:colOff>615150</xdr:colOff>
      <xdr:row>25</xdr:row>
      <xdr:rowOff>29455</xdr:rowOff>
    </xdr:to>
    <xdr:grpSp>
      <xdr:nvGrpSpPr>
        <xdr:cNvPr id="2" name="Boton Infiltración Up">
          <a:extLst>
            <a:ext uri="{FF2B5EF4-FFF2-40B4-BE49-F238E27FC236}">
              <a16:creationId xmlns:a16="http://schemas.microsoft.com/office/drawing/2014/main" id="{00000000-0008-0000-1000-000002000000}"/>
            </a:ext>
          </a:extLst>
        </xdr:cNvPr>
        <xdr:cNvGrpSpPr/>
      </xdr:nvGrpSpPr>
      <xdr:grpSpPr>
        <a:xfrm>
          <a:off x="1354931" y="3593306"/>
          <a:ext cx="986625" cy="1210555"/>
          <a:chOff x="1701864" y="1111504"/>
          <a:chExt cx="1106508" cy="1534329"/>
        </a:xfrm>
      </xdr:grpSpPr>
      <xdr:sp macro="[0]!D" textlink="">
        <xdr:nvSpPr>
          <xdr:cNvPr id="3" name="Octágono 2">
            <a:extLst>
              <a:ext uri="{FF2B5EF4-FFF2-40B4-BE49-F238E27FC236}">
                <a16:creationId xmlns:a16="http://schemas.microsoft.com/office/drawing/2014/main" id="{00000000-0008-0000-1000-000003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D" textlink="">
        <xdr:nvSpPr>
          <xdr:cNvPr id="4" name="CuadroTexto 3">
            <a:extLst>
              <a:ext uri="{FF2B5EF4-FFF2-40B4-BE49-F238E27FC236}">
                <a16:creationId xmlns:a16="http://schemas.microsoft.com/office/drawing/2014/main" id="{00000000-0008-0000-1000-000004000000}"/>
              </a:ext>
            </a:extLst>
          </xdr:cNvPr>
          <xdr:cNvSpPr txBox="1"/>
        </xdr:nvSpPr>
        <xdr:spPr>
          <a:xfrm>
            <a:off x="1701864" y="1111504"/>
            <a:ext cx="1106508" cy="1021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DIMENSION</a:t>
            </a:r>
          </a:p>
        </xdr:txBody>
      </xdr:sp>
      <xdr:pic macro="[0]!D">
        <xdr:nvPicPr>
          <xdr:cNvPr id="5" name="Imagen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twoCellAnchor editAs="oneCell">
    <xdr:from>
      <xdr:col>8</xdr:col>
      <xdr:colOff>171450</xdr:colOff>
      <xdr:row>2</xdr:row>
      <xdr:rowOff>57150</xdr:rowOff>
    </xdr:from>
    <xdr:to>
      <xdr:col>16</xdr:col>
      <xdr:colOff>47625</xdr:colOff>
      <xdr:row>33</xdr:row>
      <xdr:rowOff>9526</xdr:rowOff>
    </xdr:to>
    <xdr:pic>
      <xdr:nvPicPr>
        <xdr:cNvPr id="8" name="Imagen 7">
          <a:extLst>
            <a:ext uri="{FF2B5EF4-FFF2-40B4-BE49-F238E27FC236}">
              <a16:creationId xmlns:a16="http://schemas.microsoft.com/office/drawing/2014/main" id="{00000000-0008-0000-1000-000008000000}"/>
            </a:ext>
          </a:extLst>
        </xdr:cNvPr>
        <xdr:cNvPicPr>
          <a:picLocks noChangeAspect="1"/>
        </xdr:cNvPicPr>
      </xdr:nvPicPr>
      <xdr:blipFill rotWithShape="1">
        <a:blip xmlns:r="http://schemas.openxmlformats.org/officeDocument/2006/relationships" r:embed="rId2"/>
        <a:srcRect t="1173" b="368"/>
        <a:stretch/>
      </xdr:blipFill>
      <xdr:spPr>
        <a:xfrm>
          <a:off x="7248525" y="419100"/>
          <a:ext cx="6200775" cy="5591176"/>
        </a:xfrm>
        <a:prstGeom prst="rect">
          <a:avLst/>
        </a:prstGeom>
      </xdr:spPr>
    </xdr:pic>
    <xdr:clientData/>
  </xdr:twoCellAnchor>
  <xdr:twoCellAnchor editAs="oneCell">
    <xdr:from>
      <xdr:col>16</xdr:col>
      <xdr:colOff>28575</xdr:colOff>
      <xdr:row>2</xdr:row>
      <xdr:rowOff>76201</xdr:rowOff>
    </xdr:from>
    <xdr:to>
      <xdr:col>23</xdr:col>
      <xdr:colOff>693750</xdr:colOff>
      <xdr:row>28</xdr:row>
      <xdr:rowOff>68429</xdr:rowOff>
    </xdr:to>
    <xdr:pic>
      <xdr:nvPicPr>
        <xdr:cNvPr id="9" name="Imagen 8">
          <a:extLst>
            <a:ext uri="{FF2B5EF4-FFF2-40B4-BE49-F238E27FC236}">
              <a16:creationId xmlns:a16="http://schemas.microsoft.com/office/drawing/2014/main" id="{00000000-0008-0000-1000-000009000000}"/>
            </a:ext>
          </a:extLst>
        </xdr:cNvPr>
        <xdr:cNvPicPr>
          <a:picLocks noChangeAspect="1"/>
        </xdr:cNvPicPr>
      </xdr:nvPicPr>
      <xdr:blipFill rotWithShape="1">
        <a:blip xmlns:r="http://schemas.openxmlformats.org/officeDocument/2006/relationships" r:embed="rId3"/>
        <a:srcRect t="1782"/>
        <a:stretch/>
      </xdr:blipFill>
      <xdr:spPr>
        <a:xfrm>
          <a:off x="13430250" y="438151"/>
          <a:ext cx="6199200" cy="47261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739589</xdr:colOff>
      <xdr:row>0</xdr:row>
      <xdr:rowOff>7005</xdr:rowOff>
    </xdr:from>
    <xdr:to>
      <xdr:col>14</xdr:col>
      <xdr:colOff>10583</xdr:colOff>
      <xdr:row>51</xdr:row>
      <xdr:rowOff>119064</xdr:rowOff>
    </xdr:to>
    <xdr:sp macro="" textlink="">
      <xdr:nvSpPr>
        <xdr:cNvPr id="8" name="Rectángulo: esquinas redondeadas 7">
          <a:extLst>
            <a:ext uri="{FF2B5EF4-FFF2-40B4-BE49-F238E27FC236}">
              <a16:creationId xmlns:a16="http://schemas.microsoft.com/office/drawing/2014/main" id="{00000000-0008-0000-0100-000008000000}"/>
            </a:ext>
          </a:extLst>
        </xdr:cNvPr>
        <xdr:cNvSpPr/>
      </xdr:nvSpPr>
      <xdr:spPr>
        <a:xfrm>
          <a:off x="3787589" y="7005"/>
          <a:ext cx="6890994" cy="10780059"/>
        </a:xfrm>
        <a:prstGeom prst="roundRect">
          <a:avLst>
            <a:gd name="adj" fmla="val 4205"/>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727186</xdr:colOff>
      <xdr:row>4</xdr:row>
      <xdr:rowOff>82550</xdr:rowOff>
    </xdr:from>
    <xdr:to>
      <xdr:col>13</xdr:col>
      <xdr:colOff>358585</xdr:colOff>
      <xdr:row>11</xdr:row>
      <xdr:rowOff>113925</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ackgroundRemoval t="9409" b="89919" l="6475" r="89993">
                      <a14:foregroundMark x1="22149" y1="27957" x2="22149" y2="27957"/>
                      <a14:foregroundMark x1="29139" y1="30780" x2="29139" y2="30780"/>
                      <a14:foregroundMark x1="59529" y1="24597" x2="59529" y2="24597"/>
                      <a14:foregroundMark x1="75644" y1="24597" x2="75644" y2="24597"/>
                      <a14:foregroundMark x1="49669" y1="39651" x2="49669" y2="39651"/>
                      <a14:foregroundMark x1="45769" y1="36425" x2="45769" y2="36425"/>
                      <a14:foregroundMark x1="27005" y1="73253" x2="27005" y2="73253"/>
                      <a14:foregroundMark x1="39294" y1="72312" x2="39294" y2="72312"/>
                      <a14:foregroundMark x1="52318" y1="70430" x2="52318" y2="70430"/>
                      <a14:foregroundMark x1="61442" y1="70968" x2="61442" y2="70968"/>
                      <a14:foregroundMark x1="67991" y1="69489" x2="67991" y2="69489"/>
                      <a14:foregroundMark x1="51803" y1="25941" x2="51803" y2="25941"/>
                      <a14:foregroundMark x1="51067" y1="34946" x2="51067" y2="34946"/>
                      <a14:foregroundMark x1="53274" y1="23118" x2="53274" y2="23118"/>
                      <a14:foregroundMark x1="55188" y1="18952" x2="55188" y2="18952"/>
                      <a14:foregroundMark x1="55923" y1="16532" x2="55923" y2="16532"/>
                      <a14:foregroundMark x1="57322" y1="13710" x2="57322" y2="13710"/>
                      <a14:foregroundMark x1="38043" y1="30780" x2="38043" y2="30780"/>
                      <a14:foregroundMark x1="57395" y1="11022" x2="57395" y2="11022"/>
                      <a14:foregroundMark x1="33333" y1="20027" x2="33333" y2="20027"/>
                      <a14:backgroundMark x1="22884" y1="74731" x2="22884" y2="74731"/>
                      <a14:backgroundMark x1="41943" y1="71371" x2="41943" y2="71371"/>
                    </a14:backgroundRemoval>
                  </a14:imgEffect>
                </a14:imgLayer>
              </a14:imgProps>
            </a:ext>
          </a:extLst>
        </a:blip>
        <a:stretch>
          <a:fillRect/>
        </a:stretch>
      </xdr:blipFill>
      <xdr:spPr>
        <a:xfrm>
          <a:off x="7585186" y="844550"/>
          <a:ext cx="2679399" cy="1364875"/>
        </a:xfrm>
        <a:prstGeom prst="rect">
          <a:avLst/>
        </a:prstGeom>
      </xdr:spPr>
    </xdr:pic>
    <xdr:clientData/>
  </xdr:twoCellAnchor>
  <xdr:twoCellAnchor editAs="oneCell">
    <xdr:from>
      <xdr:col>5</xdr:col>
      <xdr:colOff>190727</xdr:colOff>
      <xdr:row>5</xdr:row>
      <xdr:rowOff>29269</xdr:rowOff>
    </xdr:from>
    <xdr:to>
      <xdr:col>8</xdr:col>
      <xdr:colOff>649942</xdr:colOff>
      <xdr:row>10</xdr:row>
      <xdr:rowOff>83350</xdr:rowOff>
    </xdr:to>
    <xdr:pic>
      <xdr:nvPicPr>
        <xdr:cNvPr id="3" name="3 Imagen">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000727" y="981769"/>
          <a:ext cx="2745215" cy="100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734918</xdr:colOff>
      <xdr:row>0</xdr:row>
      <xdr:rowOff>19609</xdr:rowOff>
    </xdr:from>
    <xdr:to>
      <xdr:col>8</xdr:col>
      <xdr:colOff>392206</xdr:colOff>
      <xdr:row>3</xdr:row>
      <xdr:rowOff>142874</xdr:rowOff>
    </xdr:to>
    <xdr:sp macro="" textlink="">
      <xdr:nvSpPr>
        <xdr:cNvPr id="4" name="Marcador de texto 2">
          <a:extLst>
            <a:ext uri="{FF2B5EF4-FFF2-40B4-BE49-F238E27FC236}">
              <a16:creationId xmlns:a16="http://schemas.microsoft.com/office/drawing/2014/main" id="{00000000-0008-0000-0100-000004000000}"/>
            </a:ext>
          </a:extLst>
        </xdr:cNvPr>
        <xdr:cNvSpPr>
          <a:spLocks noGrp="1"/>
        </xdr:cNvSpPr>
      </xdr:nvSpPr>
      <xdr:spPr>
        <a:xfrm flipH="1">
          <a:off x="3782918" y="19609"/>
          <a:ext cx="2705288" cy="694765"/>
        </a:xfrm>
        <a:prstGeom prst="rect">
          <a:avLst/>
        </a:prstGeom>
        <a:blipFill>
          <a:blip xmlns:r="http://schemas.openxmlformats.org/officeDocument/2006/relationships" r:embed="rId4"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8</xdr:col>
      <xdr:colOff>380999</xdr:colOff>
      <xdr:row>0</xdr:row>
      <xdr:rowOff>19609</xdr:rowOff>
    </xdr:from>
    <xdr:to>
      <xdr:col>11</xdr:col>
      <xdr:colOff>571500</xdr:colOff>
      <xdr:row>3</xdr:row>
      <xdr:rowOff>142874</xdr:rowOff>
    </xdr:to>
    <xdr:sp macro="" textlink="">
      <xdr:nvSpPr>
        <xdr:cNvPr id="5" name="Marcador de texto 2">
          <a:extLst>
            <a:ext uri="{FF2B5EF4-FFF2-40B4-BE49-F238E27FC236}">
              <a16:creationId xmlns:a16="http://schemas.microsoft.com/office/drawing/2014/main" id="{00000000-0008-0000-0100-000005000000}"/>
            </a:ext>
          </a:extLst>
        </xdr:cNvPr>
        <xdr:cNvSpPr>
          <a:spLocks noGrp="1"/>
        </xdr:cNvSpPr>
      </xdr:nvSpPr>
      <xdr:spPr>
        <a:xfrm flipV="1">
          <a:off x="6476999" y="19609"/>
          <a:ext cx="2476501" cy="694765"/>
        </a:xfrm>
        <a:prstGeom prst="rect">
          <a:avLst/>
        </a:prstGeom>
        <a:blipFill>
          <a:blip xmlns:r="http://schemas.openxmlformats.org/officeDocument/2006/relationships" r:embed="rId4"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oneCell">
    <xdr:from>
      <xdr:col>15</xdr:col>
      <xdr:colOff>681067</xdr:colOff>
      <xdr:row>47</xdr:row>
      <xdr:rowOff>63503</xdr:rowOff>
    </xdr:from>
    <xdr:to>
      <xdr:col>17</xdr:col>
      <xdr:colOff>858119</xdr:colOff>
      <xdr:row>51</xdr:row>
      <xdr:rowOff>95065</xdr:rowOff>
    </xdr:to>
    <xdr:pic>
      <xdr:nvPicPr>
        <xdr:cNvPr id="7" name="Imagen 6" descr="Pavco">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111067" y="9969503"/>
          <a:ext cx="1701052" cy="793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286993</xdr:colOff>
      <xdr:row>0</xdr:row>
      <xdr:rowOff>19609</xdr:rowOff>
    </xdr:from>
    <xdr:to>
      <xdr:col>14</xdr:col>
      <xdr:colOff>11516</xdr:colOff>
      <xdr:row>3</xdr:row>
      <xdr:rowOff>142874</xdr:rowOff>
    </xdr:to>
    <xdr:sp macro="" textlink="">
      <xdr:nvSpPr>
        <xdr:cNvPr id="9" name="Marcador de texto 2">
          <a:extLst>
            <a:ext uri="{FF2B5EF4-FFF2-40B4-BE49-F238E27FC236}">
              <a16:creationId xmlns:a16="http://schemas.microsoft.com/office/drawing/2014/main" id="{00000000-0008-0000-0100-000009000000}"/>
            </a:ext>
          </a:extLst>
        </xdr:cNvPr>
        <xdr:cNvSpPr>
          <a:spLocks noGrp="1"/>
        </xdr:cNvSpPr>
      </xdr:nvSpPr>
      <xdr:spPr>
        <a:xfrm>
          <a:off x="9430993" y="19609"/>
          <a:ext cx="1248523" cy="694765"/>
        </a:xfrm>
        <a:prstGeom prst="rect">
          <a:avLst/>
        </a:prstGeom>
        <a:blipFill>
          <a:blip xmlns:r="http://schemas.openxmlformats.org/officeDocument/2006/relationships" r:embed="rId4"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11</xdr:col>
      <xdr:colOff>550333</xdr:colOff>
      <xdr:row>0</xdr:row>
      <xdr:rowOff>19609</xdr:rowOff>
    </xdr:from>
    <xdr:to>
      <xdr:col>12</xdr:col>
      <xdr:colOff>287616</xdr:colOff>
      <xdr:row>3</xdr:row>
      <xdr:rowOff>142874</xdr:rowOff>
    </xdr:to>
    <xdr:sp macro="" textlink="">
      <xdr:nvSpPr>
        <xdr:cNvPr id="10" name="Marcador de texto 2">
          <a:extLst>
            <a:ext uri="{FF2B5EF4-FFF2-40B4-BE49-F238E27FC236}">
              <a16:creationId xmlns:a16="http://schemas.microsoft.com/office/drawing/2014/main" id="{00000000-0008-0000-0100-00000A000000}"/>
            </a:ext>
          </a:extLst>
        </xdr:cNvPr>
        <xdr:cNvSpPr>
          <a:spLocks noGrp="1"/>
        </xdr:cNvSpPr>
      </xdr:nvSpPr>
      <xdr:spPr>
        <a:xfrm flipH="1">
          <a:off x="8932333" y="19609"/>
          <a:ext cx="499283" cy="694765"/>
        </a:xfrm>
        <a:prstGeom prst="rect">
          <a:avLst/>
        </a:prstGeom>
        <a:blipFill>
          <a:blip xmlns:r="http://schemas.openxmlformats.org/officeDocument/2006/relationships" r:embed="rId4" cstate="email">
            <a:extLst>
              <a:ext uri="{28A0092B-C50C-407E-A947-70E740481C1C}">
                <a14:useLocalDpi xmlns:a14="http://schemas.microsoft.com/office/drawing/2010/main"/>
              </a:ext>
            </a:extLst>
          </a:blip>
          <a:srcRect/>
          <a:stretch>
            <a:fillRect l="-126624" r="-315212"/>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5</xdr:col>
      <xdr:colOff>15564</xdr:colOff>
      <xdr:row>11</xdr:row>
      <xdr:rowOff>49802</xdr:rowOff>
    </xdr:from>
    <xdr:to>
      <xdr:col>13</xdr:col>
      <xdr:colOff>654299</xdr:colOff>
      <xdr:row>23</xdr:row>
      <xdr:rowOff>95250</xdr:rowOff>
    </xdr:to>
    <xdr:sp macro="" textlink="">
      <xdr:nvSpPr>
        <xdr:cNvPr id="18" name="Rectángulo: esquinas redondeadas 17">
          <a:extLst>
            <a:ext uri="{FF2B5EF4-FFF2-40B4-BE49-F238E27FC236}">
              <a16:creationId xmlns:a16="http://schemas.microsoft.com/office/drawing/2014/main" id="{00000000-0008-0000-0100-000012000000}"/>
            </a:ext>
          </a:extLst>
        </xdr:cNvPr>
        <xdr:cNvSpPr/>
      </xdr:nvSpPr>
      <xdr:spPr>
        <a:xfrm>
          <a:off x="3825564" y="2145302"/>
          <a:ext cx="6734735" cy="2140948"/>
        </a:xfrm>
        <a:prstGeom prst="roundRect">
          <a:avLst>
            <a:gd name="adj" fmla="val 9871"/>
          </a:avLst>
        </a:prstGeom>
        <a:solidFill>
          <a:srgbClr val="2B2B6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105832</xdr:colOff>
      <xdr:row>11</xdr:row>
      <xdr:rowOff>144991</xdr:rowOff>
    </xdr:from>
    <xdr:to>
      <xdr:col>10</xdr:col>
      <xdr:colOff>751415</xdr:colOff>
      <xdr:row>13</xdr:row>
      <xdr:rowOff>133785</xdr:rowOff>
    </xdr:to>
    <xdr:sp macro="" textlink="">
      <xdr:nvSpPr>
        <xdr:cNvPr id="16" name="Rectángulo: esquinas diagonales cortadas 15">
          <a:extLst>
            <a:ext uri="{FF2B5EF4-FFF2-40B4-BE49-F238E27FC236}">
              <a16:creationId xmlns:a16="http://schemas.microsoft.com/office/drawing/2014/main" id="{00000000-0008-0000-0100-000010000000}"/>
            </a:ext>
          </a:extLst>
        </xdr:cNvPr>
        <xdr:cNvSpPr/>
      </xdr:nvSpPr>
      <xdr:spPr>
        <a:xfrm flipV="1">
          <a:off x="3153832" y="2240491"/>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269871</xdr:colOff>
      <xdr:row>11</xdr:row>
      <xdr:rowOff>179045</xdr:rowOff>
    </xdr:from>
    <xdr:to>
      <xdr:col>11</xdr:col>
      <xdr:colOff>597954</xdr:colOff>
      <xdr:row>13</xdr:row>
      <xdr:rowOff>147108</xdr:rowOff>
    </xdr:to>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3317871" y="2274545"/>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PT Sans Narrow" panose="020B0506020203020204" pitchFamily="34" charset="0"/>
            </a:rPr>
            <a:t>!BIENVENIDO</a:t>
          </a:r>
          <a:r>
            <a:rPr lang="es-CO" sz="1600" b="1" baseline="0">
              <a:solidFill>
                <a:schemeClr val="bg1"/>
              </a:solidFill>
              <a:latin typeface="PT Sans Narrow" panose="020B0506020203020204" pitchFamily="34" charset="0"/>
            </a:rPr>
            <a:t> A LA HOJA DE DISEÑO PARA SISTEMAS AQUACELL!</a:t>
          </a:r>
          <a:endParaRPr lang="es-CO" sz="1600" b="1">
            <a:solidFill>
              <a:schemeClr val="bg1"/>
            </a:solidFill>
            <a:latin typeface="PT Sans Narrow" panose="020B0506020203020204" pitchFamily="34" charset="0"/>
          </a:endParaRPr>
        </a:p>
      </xdr:txBody>
    </xdr:sp>
    <xdr:clientData/>
  </xdr:twoCellAnchor>
  <xdr:twoCellAnchor>
    <xdr:from>
      <xdr:col>5</xdr:col>
      <xdr:colOff>74083</xdr:colOff>
      <xdr:row>14</xdr:row>
      <xdr:rowOff>84667</xdr:rowOff>
    </xdr:from>
    <xdr:to>
      <xdr:col>12</xdr:col>
      <xdr:colOff>698499</xdr:colOff>
      <xdr:row>23</xdr:row>
      <xdr:rowOff>74083</xdr:rowOff>
    </xdr:to>
    <xdr:sp macro="" textlink="">
      <xdr:nvSpPr>
        <xdr:cNvPr id="22" name="CuadroTexto 21">
          <a:extLst>
            <a:ext uri="{FF2B5EF4-FFF2-40B4-BE49-F238E27FC236}">
              <a16:creationId xmlns:a16="http://schemas.microsoft.com/office/drawing/2014/main" id="{00000000-0008-0000-0100-000016000000}"/>
            </a:ext>
          </a:extLst>
        </xdr:cNvPr>
        <xdr:cNvSpPr txBox="1"/>
      </xdr:nvSpPr>
      <xdr:spPr>
        <a:xfrm>
          <a:off x="3884083" y="2751667"/>
          <a:ext cx="5958416" cy="1513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chemeClr val="bg1"/>
              </a:solidFill>
              <a:latin typeface="PT Sans Narrow" panose="020B0506020203020204" pitchFamily="34" charset="0"/>
            </a:rPr>
            <a:t>EN ESTA HOJA PODRÁS REALIZAR EL CÁLCULO Y DIMENSIONAMIENTO DE UN TANQUE AQUACELL DE PAVCO WAVIN®.*</a:t>
          </a:r>
        </a:p>
        <a:p>
          <a:endParaRPr lang="es-CO" sz="1400" b="1">
            <a:solidFill>
              <a:schemeClr val="bg1"/>
            </a:solidFill>
            <a:latin typeface="PT Sans Narrow" panose="020B0506020203020204" pitchFamily="34" charset="0"/>
          </a:endParaRPr>
        </a:p>
        <a:p>
          <a:r>
            <a:rPr lang="es-CO" sz="1400" b="1">
              <a:solidFill>
                <a:schemeClr val="bg1"/>
              </a:solidFill>
              <a:latin typeface="PT Sans Narrow" panose="020B0506020203020204" pitchFamily="34" charset="0"/>
            </a:rPr>
            <a:t>ADEMÁS, PODRÁS OBTENER UNA LISTA DETALLADA DE LOS MATERIALES QUE NECESITARÁS PARA TU SISTEMA AQUACELL CON LOS PRECIOS DE LISTA ACTUALIZADOS.**</a:t>
          </a:r>
        </a:p>
      </xdr:txBody>
    </xdr:sp>
    <xdr:clientData/>
  </xdr:twoCellAnchor>
  <xdr:twoCellAnchor>
    <xdr:from>
      <xdr:col>8</xdr:col>
      <xdr:colOff>176749</xdr:colOff>
      <xdr:row>26</xdr:row>
      <xdr:rowOff>9913</xdr:rowOff>
    </xdr:from>
    <xdr:to>
      <xdr:col>10</xdr:col>
      <xdr:colOff>490013</xdr:colOff>
      <xdr:row>29</xdr:row>
      <xdr:rowOff>86413</xdr:rowOff>
    </xdr:to>
    <xdr:grpSp>
      <xdr:nvGrpSpPr>
        <xdr:cNvPr id="38" name="INFORMACIÓN">
          <a:hlinkClick xmlns:r="http://schemas.openxmlformats.org/officeDocument/2006/relationships" r:id="rId6"/>
          <a:extLst>
            <a:ext uri="{FF2B5EF4-FFF2-40B4-BE49-F238E27FC236}">
              <a16:creationId xmlns:a16="http://schemas.microsoft.com/office/drawing/2014/main" id="{00000000-0008-0000-0100-000026000000}"/>
            </a:ext>
          </a:extLst>
        </xdr:cNvPr>
        <xdr:cNvGrpSpPr/>
      </xdr:nvGrpSpPr>
      <xdr:grpSpPr>
        <a:xfrm>
          <a:off x="6272749" y="4962913"/>
          <a:ext cx="1837264" cy="648000"/>
          <a:chOff x="7476069" y="4540245"/>
          <a:chExt cx="1837264" cy="635001"/>
        </a:xfrm>
      </xdr:grpSpPr>
      <xdr:sp macro="" textlink="">
        <xdr:nvSpPr>
          <xdr:cNvPr id="30" name="Octágono 29">
            <a:extLst>
              <a:ext uri="{FF2B5EF4-FFF2-40B4-BE49-F238E27FC236}">
                <a16:creationId xmlns:a16="http://schemas.microsoft.com/office/drawing/2014/main" id="{00000000-0008-0000-0100-00001E000000}"/>
              </a:ext>
            </a:extLst>
          </xdr:cNvPr>
          <xdr:cNvSpPr/>
        </xdr:nvSpPr>
        <xdr:spPr>
          <a:xfrm>
            <a:off x="7476069" y="4540245"/>
            <a:ext cx="1773764" cy="635001"/>
          </a:xfrm>
          <a:prstGeom prst="octagon">
            <a:avLst>
              <a:gd name="adj" fmla="val 1314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7952319" y="4656662"/>
            <a:ext cx="1361014"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700" b="1">
                <a:solidFill>
                  <a:schemeClr val="bg1"/>
                </a:solidFill>
                <a:latin typeface="PT Sans Narrow" panose="020B0506020203020204" pitchFamily="34" charset="0"/>
              </a:rPr>
              <a:t>INFORMACIÓN</a:t>
            </a:r>
          </a:p>
        </xdr:txBody>
      </xdr:sp>
      <xdr:pic>
        <xdr:nvPicPr>
          <xdr:cNvPr id="34" name="Imagen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545914" y="4624915"/>
            <a:ext cx="446895" cy="446400"/>
          </a:xfrm>
          <a:prstGeom prst="rect">
            <a:avLst/>
          </a:prstGeom>
        </xdr:spPr>
      </xdr:pic>
    </xdr:grpSp>
    <xdr:clientData/>
  </xdr:twoCellAnchor>
  <xdr:twoCellAnchor editAs="absolute">
    <xdr:from>
      <xdr:col>5</xdr:col>
      <xdr:colOff>402175</xdr:colOff>
      <xdr:row>26</xdr:row>
      <xdr:rowOff>9913</xdr:rowOff>
    </xdr:from>
    <xdr:to>
      <xdr:col>7</xdr:col>
      <xdr:colOff>444509</xdr:colOff>
      <xdr:row>29</xdr:row>
      <xdr:rowOff>86413</xdr:rowOff>
    </xdr:to>
    <xdr:grpSp>
      <xdr:nvGrpSpPr>
        <xdr:cNvPr id="37" name="COMENZAR">
          <a:extLst>
            <a:ext uri="{FF2B5EF4-FFF2-40B4-BE49-F238E27FC236}">
              <a16:creationId xmlns:a16="http://schemas.microsoft.com/office/drawing/2014/main" id="{00000000-0008-0000-0100-000025000000}"/>
            </a:ext>
          </a:extLst>
        </xdr:cNvPr>
        <xdr:cNvGrpSpPr/>
      </xdr:nvGrpSpPr>
      <xdr:grpSpPr>
        <a:xfrm>
          <a:off x="4212175" y="4962913"/>
          <a:ext cx="1566334" cy="648000"/>
          <a:chOff x="5164670" y="4540245"/>
          <a:chExt cx="1566334" cy="635001"/>
        </a:xfrm>
      </xdr:grpSpPr>
      <xdr:sp macro="[0]!DI" textlink="">
        <xdr:nvSpPr>
          <xdr:cNvPr id="26" name="Octágono 25">
            <a:extLst>
              <a:ext uri="{FF2B5EF4-FFF2-40B4-BE49-F238E27FC236}">
                <a16:creationId xmlns:a16="http://schemas.microsoft.com/office/drawing/2014/main" id="{00000000-0008-0000-0100-00001A000000}"/>
              </a:ext>
            </a:extLst>
          </xdr:cNvPr>
          <xdr:cNvSpPr/>
        </xdr:nvSpPr>
        <xdr:spPr>
          <a:xfrm>
            <a:off x="5164670" y="4540245"/>
            <a:ext cx="1566334" cy="635001"/>
          </a:xfrm>
          <a:prstGeom prst="octagon">
            <a:avLst>
              <a:gd name="adj" fmla="val 1314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DI" textlink="">
        <xdr:nvSpPr>
          <xdr:cNvPr id="27" name="CuadroTexto 26">
            <a:extLst>
              <a:ext uri="{FF2B5EF4-FFF2-40B4-BE49-F238E27FC236}">
                <a16:creationId xmlns:a16="http://schemas.microsoft.com/office/drawing/2014/main" id="{00000000-0008-0000-0100-00001B000000}"/>
              </a:ext>
            </a:extLst>
          </xdr:cNvPr>
          <xdr:cNvSpPr txBox="1"/>
        </xdr:nvSpPr>
        <xdr:spPr>
          <a:xfrm>
            <a:off x="5640920" y="4667245"/>
            <a:ext cx="1090084"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PT Sans Narrow" panose="020B0506020203020204" pitchFamily="34" charset="0"/>
              </a:rPr>
              <a:t>COMENZAR</a:t>
            </a:r>
          </a:p>
        </xdr:txBody>
      </xdr:sp>
      <xdr:pic macro="[0]!DI">
        <xdr:nvPicPr>
          <xdr:cNvPr id="36" name="Imagen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259917" y="4646081"/>
            <a:ext cx="412068" cy="414000"/>
          </a:xfrm>
          <a:prstGeom prst="rect">
            <a:avLst/>
          </a:prstGeom>
        </xdr:spPr>
      </xdr:pic>
    </xdr:grpSp>
    <xdr:clientData/>
  </xdr:twoCellAnchor>
  <xdr:twoCellAnchor>
    <xdr:from>
      <xdr:col>5</xdr:col>
      <xdr:colOff>15564</xdr:colOff>
      <xdr:row>34</xdr:row>
      <xdr:rowOff>63500</xdr:rowOff>
    </xdr:from>
    <xdr:to>
      <xdr:col>13</xdr:col>
      <xdr:colOff>654299</xdr:colOff>
      <xdr:row>47</xdr:row>
      <xdr:rowOff>56031</xdr:rowOff>
    </xdr:to>
    <xdr:sp macro="" textlink="">
      <xdr:nvSpPr>
        <xdr:cNvPr id="43" name="Rectángulo: esquinas redondeadas 42">
          <a:extLst>
            <a:ext uri="{FF2B5EF4-FFF2-40B4-BE49-F238E27FC236}">
              <a16:creationId xmlns:a16="http://schemas.microsoft.com/office/drawing/2014/main" id="{00000000-0008-0000-0100-00002B000000}"/>
            </a:ext>
          </a:extLst>
        </xdr:cNvPr>
        <xdr:cNvSpPr/>
      </xdr:nvSpPr>
      <xdr:spPr>
        <a:xfrm>
          <a:off x="3825564" y="6350000"/>
          <a:ext cx="6734735" cy="2469031"/>
        </a:xfrm>
        <a:prstGeom prst="roundRect">
          <a:avLst>
            <a:gd name="adj" fmla="val 9871"/>
          </a:avLst>
        </a:prstGeom>
        <a:solidFill>
          <a:srgbClr val="2B2B6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42958</xdr:colOff>
      <xdr:row>35</xdr:row>
      <xdr:rowOff>183945</xdr:rowOff>
    </xdr:from>
    <xdr:to>
      <xdr:col>12</xdr:col>
      <xdr:colOff>667374</xdr:colOff>
      <xdr:row>47</xdr:row>
      <xdr:rowOff>1</xdr:rowOff>
    </xdr:to>
    <xdr:sp macro="" textlink="">
      <xdr:nvSpPr>
        <xdr:cNvPr id="44" name="CuadroTexto 43">
          <a:extLst>
            <a:ext uri="{FF2B5EF4-FFF2-40B4-BE49-F238E27FC236}">
              <a16:creationId xmlns:a16="http://schemas.microsoft.com/office/drawing/2014/main" id="{00000000-0008-0000-0100-00002C000000}"/>
            </a:ext>
          </a:extLst>
        </xdr:cNvPr>
        <xdr:cNvSpPr txBox="1"/>
      </xdr:nvSpPr>
      <xdr:spPr>
        <a:xfrm>
          <a:off x="3852958" y="6660945"/>
          <a:ext cx="5958416" cy="2102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chemeClr val="bg1"/>
              </a:solidFill>
              <a:latin typeface="PT Sans Narrow" panose="020B0506020203020204" pitchFamily="34" charset="0"/>
            </a:rPr>
            <a:t>* EL</a:t>
          </a:r>
          <a:r>
            <a:rPr lang="es-CO" sz="1200" b="1" baseline="0">
              <a:solidFill>
                <a:schemeClr val="bg1"/>
              </a:solidFill>
              <a:latin typeface="PT Sans Narrow" panose="020B0506020203020204" pitchFamily="34" charset="0"/>
            </a:rPr>
            <a:t> CÁLCULO Y DIMENSIONAMIENTO DE ESTOS TANQUES SE REALIZÓ DE ACUERDO A LO INDICADO EN LA HOJA DE </a:t>
          </a:r>
          <a:r>
            <a:rPr lang="es-CO" sz="1200" b="1" i="1" baseline="0">
              <a:solidFill>
                <a:schemeClr val="bg1"/>
              </a:solidFill>
              <a:latin typeface="PT Sans Narrow" panose="020B0506020203020204" pitchFamily="34" charset="0"/>
            </a:rPr>
            <a:t>ADVERTENCIA</a:t>
          </a:r>
          <a:r>
            <a:rPr lang="es-CO" sz="1200" b="1" baseline="0">
              <a:solidFill>
                <a:schemeClr val="bg1"/>
              </a:solidFill>
              <a:latin typeface="PT Sans Narrow" panose="020B0506020203020204" pitchFamily="34" charset="0"/>
            </a:rPr>
            <a:t>. POR LO CUAL AL CONTINUAR CON EL USO DE ESTA HERRAMIENTA, SE DA A ENTENEDER QUE CONOCES LA METODOLOGÍA, LOS ALCANCES Y LIMITACIONES DE ESTA HOJA DE CÁLCULO.</a:t>
          </a:r>
          <a:endParaRPr lang="es-CO" sz="1200" b="1">
            <a:solidFill>
              <a:schemeClr val="bg1"/>
            </a:solidFill>
            <a:latin typeface="PT Sans Narrow" panose="020B0506020203020204" pitchFamily="34" charset="0"/>
          </a:endParaRPr>
        </a:p>
        <a:p>
          <a:endParaRPr lang="es-CO" sz="1200" b="1">
            <a:solidFill>
              <a:schemeClr val="bg1"/>
            </a:solidFill>
            <a:latin typeface="PT Sans Narrow" panose="020B0506020203020204" pitchFamily="34" charset="0"/>
          </a:endParaRPr>
        </a:p>
        <a:p>
          <a:r>
            <a:rPr lang="es-CO" sz="1200" b="1">
              <a:solidFill>
                <a:schemeClr val="bg1"/>
              </a:solidFill>
              <a:latin typeface="PT Sans Narrow" panose="020B0506020203020204" pitchFamily="34" charset="0"/>
            </a:rPr>
            <a:t>** PRECIOS DE LISTA, SIN DESCUENTOS.</a:t>
          </a:r>
          <a:r>
            <a:rPr lang="es-CO" sz="1200" b="1" baseline="0">
              <a:solidFill>
                <a:schemeClr val="bg1"/>
              </a:solidFill>
              <a:latin typeface="PT Sans Narrow" panose="020B0506020203020204" pitchFamily="34" charset="0"/>
            </a:rPr>
            <a:t> ADICIONALMENTE, LOS VALORES DE PRECIO ENCONTRADOS EN ESTA HERRAMIENTA DE CÁLCULO </a:t>
          </a:r>
          <a:r>
            <a:rPr lang="es-CO" sz="1200" b="1">
              <a:solidFill>
                <a:schemeClr val="bg1"/>
              </a:solidFill>
              <a:latin typeface="PT Sans Narrow" panose="020B0506020203020204" pitchFamily="34" charset="0"/>
            </a:rPr>
            <a:t>PUEDEN</a:t>
          </a:r>
          <a:r>
            <a:rPr lang="es-CO" sz="1200" b="1" baseline="0">
              <a:solidFill>
                <a:schemeClr val="bg1"/>
              </a:solidFill>
              <a:latin typeface="PT Sans Narrow" panose="020B0506020203020204" pitchFamily="34" charset="0"/>
            </a:rPr>
            <a:t> ESTAR SUJETOS A CAMBIOS, POR LO CUAL RECOMENDAMOS SIEMPRE DESCARGAR ESTA HOJA DE LA PÁGINA WEB DE PAVCO WAVIN PARA OBTENER SIEMPRE LA ÚLTIMA VERSIÓN ACTUALIZADA.</a:t>
          </a:r>
        </a:p>
        <a:p>
          <a:endParaRPr lang="es-CO" sz="1200" b="1" baseline="0">
            <a:solidFill>
              <a:schemeClr val="bg1"/>
            </a:solidFill>
            <a:latin typeface="PT Sans Narrow" panose="020B0506020203020204" pitchFamily="34" charset="0"/>
          </a:endParaRPr>
        </a:p>
        <a:p>
          <a:endParaRPr lang="es-CO" sz="1200" b="1">
            <a:solidFill>
              <a:schemeClr val="bg1"/>
            </a:solidFill>
            <a:latin typeface="PT Sans Narrow" panose="020B0506020203020204" pitchFamily="34" charset="0"/>
          </a:endParaRPr>
        </a:p>
        <a:p>
          <a:endParaRPr lang="es-CO" sz="1200" b="1">
            <a:solidFill>
              <a:schemeClr val="bg1"/>
            </a:solidFill>
            <a:latin typeface="PT Sans Narrow" panose="020B0506020203020204" pitchFamily="34" charset="0"/>
          </a:endParaRPr>
        </a:p>
      </xdr:txBody>
    </xdr:sp>
    <xdr:clientData/>
  </xdr:twoCellAnchor>
  <xdr:twoCellAnchor>
    <xdr:from>
      <xdr:col>4</xdr:col>
      <xdr:colOff>730250</xdr:colOff>
      <xdr:row>47</xdr:row>
      <xdr:rowOff>186298</xdr:rowOff>
    </xdr:from>
    <xdr:to>
      <xdr:col>8</xdr:col>
      <xdr:colOff>387538</xdr:colOff>
      <xdr:row>51</xdr:row>
      <xdr:rowOff>119063</xdr:rowOff>
    </xdr:to>
    <xdr:sp macro="" textlink="">
      <xdr:nvSpPr>
        <xdr:cNvPr id="45" name="Marcador de texto 2">
          <a:extLst>
            <a:ext uri="{FF2B5EF4-FFF2-40B4-BE49-F238E27FC236}">
              <a16:creationId xmlns:a16="http://schemas.microsoft.com/office/drawing/2014/main" id="{00000000-0008-0000-0100-00002D000000}"/>
            </a:ext>
          </a:extLst>
        </xdr:cNvPr>
        <xdr:cNvSpPr>
          <a:spLocks noGrp="1"/>
        </xdr:cNvSpPr>
      </xdr:nvSpPr>
      <xdr:spPr>
        <a:xfrm flipH="1" flipV="1">
          <a:off x="3778250" y="10092298"/>
          <a:ext cx="2705288" cy="694765"/>
        </a:xfrm>
        <a:prstGeom prst="rect">
          <a:avLst/>
        </a:prstGeom>
        <a:blipFill>
          <a:blip xmlns:r="http://schemas.openxmlformats.org/officeDocument/2006/relationships" r:embed="rId4"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8</xdr:col>
      <xdr:colOff>376331</xdr:colOff>
      <xdr:row>47</xdr:row>
      <xdr:rowOff>186298</xdr:rowOff>
    </xdr:from>
    <xdr:to>
      <xdr:col>11</xdr:col>
      <xdr:colOff>566832</xdr:colOff>
      <xdr:row>51</xdr:row>
      <xdr:rowOff>119063</xdr:rowOff>
    </xdr:to>
    <xdr:sp macro="" textlink="">
      <xdr:nvSpPr>
        <xdr:cNvPr id="46" name="Marcador de texto 2">
          <a:extLst>
            <a:ext uri="{FF2B5EF4-FFF2-40B4-BE49-F238E27FC236}">
              <a16:creationId xmlns:a16="http://schemas.microsoft.com/office/drawing/2014/main" id="{00000000-0008-0000-0100-00002E000000}"/>
            </a:ext>
          </a:extLst>
        </xdr:cNvPr>
        <xdr:cNvSpPr>
          <a:spLocks noGrp="1"/>
        </xdr:cNvSpPr>
      </xdr:nvSpPr>
      <xdr:spPr>
        <a:xfrm>
          <a:off x="6472331" y="10092298"/>
          <a:ext cx="2476501" cy="694765"/>
        </a:xfrm>
        <a:prstGeom prst="rect">
          <a:avLst/>
        </a:prstGeom>
        <a:blipFill>
          <a:blip xmlns:r="http://schemas.openxmlformats.org/officeDocument/2006/relationships" r:embed="rId4"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12</xdr:col>
      <xdr:colOff>282325</xdr:colOff>
      <xdr:row>47</xdr:row>
      <xdr:rowOff>186298</xdr:rowOff>
    </xdr:from>
    <xdr:to>
      <xdr:col>14</xdr:col>
      <xdr:colOff>6848</xdr:colOff>
      <xdr:row>51</xdr:row>
      <xdr:rowOff>119063</xdr:rowOff>
    </xdr:to>
    <xdr:sp macro="" textlink="">
      <xdr:nvSpPr>
        <xdr:cNvPr id="47" name="Marcador de texto 2">
          <a:extLst>
            <a:ext uri="{FF2B5EF4-FFF2-40B4-BE49-F238E27FC236}">
              <a16:creationId xmlns:a16="http://schemas.microsoft.com/office/drawing/2014/main" id="{00000000-0008-0000-0100-00002F000000}"/>
            </a:ext>
          </a:extLst>
        </xdr:cNvPr>
        <xdr:cNvSpPr>
          <a:spLocks noGrp="1"/>
        </xdr:cNvSpPr>
      </xdr:nvSpPr>
      <xdr:spPr>
        <a:xfrm flipV="1">
          <a:off x="9426325" y="10092298"/>
          <a:ext cx="1248523" cy="694765"/>
        </a:xfrm>
        <a:prstGeom prst="rect">
          <a:avLst/>
        </a:prstGeom>
        <a:blipFill>
          <a:blip xmlns:r="http://schemas.openxmlformats.org/officeDocument/2006/relationships" r:embed="rId4"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11</xdr:col>
      <xdr:colOff>391582</xdr:colOff>
      <xdr:row>47</xdr:row>
      <xdr:rowOff>186298</xdr:rowOff>
    </xdr:from>
    <xdr:to>
      <xdr:col>12</xdr:col>
      <xdr:colOff>296329</xdr:colOff>
      <xdr:row>51</xdr:row>
      <xdr:rowOff>119063</xdr:rowOff>
    </xdr:to>
    <xdr:sp macro="" textlink="">
      <xdr:nvSpPr>
        <xdr:cNvPr id="48" name="Marcador de texto 2">
          <a:extLst>
            <a:ext uri="{FF2B5EF4-FFF2-40B4-BE49-F238E27FC236}">
              <a16:creationId xmlns:a16="http://schemas.microsoft.com/office/drawing/2014/main" id="{00000000-0008-0000-0100-000030000000}"/>
            </a:ext>
          </a:extLst>
        </xdr:cNvPr>
        <xdr:cNvSpPr>
          <a:spLocks noGrp="1"/>
        </xdr:cNvSpPr>
      </xdr:nvSpPr>
      <xdr:spPr>
        <a:xfrm flipH="1" flipV="1">
          <a:off x="8773582" y="10092298"/>
          <a:ext cx="666747" cy="694765"/>
        </a:xfrm>
        <a:prstGeom prst="rect">
          <a:avLst/>
        </a:prstGeom>
        <a:blipFill>
          <a:blip xmlns:r="http://schemas.openxmlformats.org/officeDocument/2006/relationships" r:embed="rId4" cstate="email">
            <a:extLst>
              <a:ext uri="{28A0092B-C50C-407E-A947-70E740481C1C}">
                <a14:useLocalDpi xmlns:a14="http://schemas.microsoft.com/office/drawing/2010/main"/>
              </a:ext>
            </a:extLst>
          </a:blip>
          <a:srcRect/>
          <a:stretch>
            <a:fillRect l="-94401" r="-211345"/>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0</xdr:col>
      <xdr:colOff>0</xdr:colOff>
      <xdr:row>29</xdr:row>
      <xdr:rowOff>10586</xdr:rowOff>
    </xdr:from>
    <xdr:to>
      <xdr:col>4</xdr:col>
      <xdr:colOff>285750</xdr:colOff>
      <xdr:row>49</xdr:row>
      <xdr:rowOff>95252</xdr:rowOff>
    </xdr:to>
    <xdr:sp macro="" textlink="">
      <xdr:nvSpPr>
        <xdr:cNvPr id="49" name="CuadroTexto 48">
          <a:extLst>
            <a:ext uri="{FF2B5EF4-FFF2-40B4-BE49-F238E27FC236}">
              <a16:creationId xmlns:a16="http://schemas.microsoft.com/office/drawing/2014/main" id="{00000000-0008-0000-0100-000031000000}"/>
            </a:ext>
          </a:extLst>
        </xdr:cNvPr>
        <xdr:cNvSpPr txBox="1"/>
      </xdr:nvSpPr>
      <xdr:spPr>
        <a:xfrm>
          <a:off x="0" y="6487586"/>
          <a:ext cx="3333750" cy="3894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i="0">
              <a:solidFill>
                <a:schemeClr val="bg1"/>
              </a:solidFill>
              <a:effectLst/>
              <a:latin typeface="PT Sans Narrow" panose="020B0506020203020204" pitchFamily="34" charset="0"/>
              <a:ea typeface="+mn-ea"/>
              <a:cs typeface="+mn-cs"/>
            </a:rPr>
            <a:t>Bogotá: Autopista Sur # 71-75.</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(601) 782 5000 Ext.:1101 Fax: +57 (601) 782 5020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Cali: Calle 64 Norte 5BN 46. Oficina R01, Centro Empresa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(602) 829 8969 EXT 2809</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Bucaramanga: Calle 30 # 22-129 Oficina 1802, Floridablanca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+57 314 330 2331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Barranquilla: Conmutador: +57 (605) 375 8100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0041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Itagüí - Antioquia: Calle 27 # 41-80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(604) 325 6660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Eje Cafetero: Carrera 17 # 5-58 Oficina 304 , Pereira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0025</a:t>
          </a:r>
          <a:endParaRPr lang="es-CO" sz="1200" b="1">
            <a:solidFill>
              <a:schemeClr val="bg1"/>
            </a:solidFill>
            <a:latin typeface="PT Sans Narrow" panose="020B0506020203020204" pitchFamily="34" charset="0"/>
          </a:endParaRPr>
        </a:p>
      </xdr:txBody>
    </xdr:sp>
    <xdr:clientData/>
  </xdr:twoCellAnchor>
  <xdr:twoCellAnchor editAs="oneCell">
    <xdr:from>
      <xdr:col>2</xdr:col>
      <xdr:colOff>116418</xdr:colOff>
      <xdr:row>49</xdr:row>
      <xdr:rowOff>157793</xdr:rowOff>
    </xdr:from>
    <xdr:to>
      <xdr:col>2</xdr:col>
      <xdr:colOff>467978</xdr:colOff>
      <xdr:row>51</xdr:row>
      <xdr:rowOff>136793</xdr:rowOff>
    </xdr:to>
    <xdr:pic>
      <xdr:nvPicPr>
        <xdr:cNvPr id="54" name="Imagen 53">
          <a:hlinkClick xmlns:r="http://schemas.openxmlformats.org/officeDocument/2006/relationships" r:id="rId9"/>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640418" y="10444793"/>
          <a:ext cx="351560" cy="360000"/>
        </a:xfrm>
        <a:prstGeom prst="rect">
          <a:avLst/>
        </a:prstGeom>
      </xdr:spPr>
    </xdr:pic>
    <xdr:clientData/>
  </xdr:twoCellAnchor>
  <xdr:twoCellAnchor editAs="oneCell">
    <xdr:from>
      <xdr:col>0</xdr:col>
      <xdr:colOff>349251</xdr:colOff>
      <xdr:row>49</xdr:row>
      <xdr:rowOff>157793</xdr:rowOff>
    </xdr:from>
    <xdr:to>
      <xdr:col>0</xdr:col>
      <xdr:colOff>699902</xdr:colOff>
      <xdr:row>51</xdr:row>
      <xdr:rowOff>136793</xdr:rowOff>
    </xdr:to>
    <xdr:pic>
      <xdr:nvPicPr>
        <xdr:cNvPr id="56" name="Imagen 55">
          <a:hlinkClick xmlns:r="http://schemas.openxmlformats.org/officeDocument/2006/relationships" r:id="rId11"/>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49251" y="10444793"/>
          <a:ext cx="350651" cy="360000"/>
        </a:xfrm>
        <a:prstGeom prst="rect">
          <a:avLst/>
        </a:prstGeom>
      </xdr:spPr>
    </xdr:pic>
    <xdr:clientData/>
  </xdr:twoCellAnchor>
  <xdr:twoCellAnchor editAs="oneCell">
    <xdr:from>
      <xdr:col>1</xdr:col>
      <xdr:colOff>213502</xdr:colOff>
      <xdr:row>50</xdr:row>
      <xdr:rowOff>9625</xdr:rowOff>
    </xdr:from>
    <xdr:to>
      <xdr:col>1</xdr:col>
      <xdr:colOff>618872</xdr:colOff>
      <xdr:row>51</xdr:row>
      <xdr:rowOff>179125</xdr:rowOff>
    </xdr:to>
    <xdr:pic>
      <xdr:nvPicPr>
        <xdr:cNvPr id="58" name="Imagen 57">
          <a:hlinkClick xmlns:r="http://schemas.openxmlformats.org/officeDocument/2006/relationships" r:id="rId13"/>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75502" y="10487125"/>
          <a:ext cx="405370" cy="360000"/>
        </a:xfrm>
        <a:prstGeom prst="rect">
          <a:avLst/>
        </a:prstGeom>
      </xdr:spPr>
    </xdr:pic>
    <xdr:clientData/>
  </xdr:twoCellAnchor>
  <xdr:twoCellAnchor>
    <xdr:from>
      <xdr:col>11</xdr:col>
      <xdr:colOff>207967</xdr:colOff>
      <xdr:row>24</xdr:row>
      <xdr:rowOff>39680</xdr:rowOff>
    </xdr:from>
    <xdr:to>
      <xdr:col>13</xdr:col>
      <xdr:colOff>557215</xdr:colOff>
      <xdr:row>27</xdr:row>
      <xdr:rowOff>116180</xdr:rowOff>
    </xdr:to>
    <xdr:grpSp>
      <xdr:nvGrpSpPr>
        <xdr:cNvPr id="12" name="MANUAL TÉCNICO">
          <a:hlinkClick xmlns:r="http://schemas.openxmlformats.org/officeDocument/2006/relationships" r:id="rId15"/>
          <a:extLst>
            <a:ext uri="{FF2B5EF4-FFF2-40B4-BE49-F238E27FC236}">
              <a16:creationId xmlns:a16="http://schemas.microsoft.com/office/drawing/2014/main" id="{00000000-0008-0000-0100-00000C000000}"/>
            </a:ext>
          </a:extLst>
        </xdr:cNvPr>
        <xdr:cNvGrpSpPr/>
      </xdr:nvGrpSpPr>
      <xdr:grpSpPr>
        <a:xfrm>
          <a:off x="8589967" y="4611680"/>
          <a:ext cx="1873248" cy="648000"/>
          <a:chOff x="8720667" y="4540245"/>
          <a:chExt cx="1873248" cy="635001"/>
        </a:xfrm>
      </xdr:grpSpPr>
      <xdr:sp macro="" textlink="">
        <xdr:nvSpPr>
          <xdr:cNvPr id="41" name="Octágono 40">
            <a:extLst>
              <a:ext uri="{FF2B5EF4-FFF2-40B4-BE49-F238E27FC236}">
                <a16:creationId xmlns:a16="http://schemas.microsoft.com/office/drawing/2014/main" id="{00000000-0008-0000-0100-000029000000}"/>
              </a:ext>
            </a:extLst>
          </xdr:cNvPr>
          <xdr:cNvSpPr/>
        </xdr:nvSpPr>
        <xdr:spPr>
          <a:xfrm>
            <a:off x="8720667" y="4540245"/>
            <a:ext cx="1773764" cy="635001"/>
          </a:xfrm>
          <a:prstGeom prst="octagon">
            <a:avLst>
              <a:gd name="adj" fmla="val 1314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0" name="CuadroTexto 49">
            <a:extLst>
              <a:ext uri="{FF2B5EF4-FFF2-40B4-BE49-F238E27FC236}">
                <a16:creationId xmlns:a16="http://schemas.microsoft.com/office/drawing/2014/main" id="{00000000-0008-0000-0100-000032000000}"/>
              </a:ext>
            </a:extLst>
          </xdr:cNvPr>
          <xdr:cNvSpPr txBox="1"/>
        </xdr:nvSpPr>
        <xdr:spPr>
          <a:xfrm>
            <a:off x="9091082" y="4561412"/>
            <a:ext cx="1502833" cy="592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latin typeface="PT Sans Narrow" panose="020B0506020203020204" pitchFamily="34" charset="0"/>
              </a:rPr>
              <a:t>DESCARGAR FICHA TÉCNICA CORE</a:t>
            </a:r>
          </a:p>
        </xdr:txBody>
      </xdr:sp>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8826501" y="4624916"/>
            <a:ext cx="444499" cy="446400"/>
          </a:xfrm>
          <a:prstGeom prst="rect">
            <a:avLst/>
          </a:prstGeom>
        </xdr:spPr>
      </xdr:pic>
    </xdr:grpSp>
    <xdr:clientData/>
  </xdr:twoCellAnchor>
  <xdr:twoCellAnchor>
    <xdr:from>
      <xdr:col>8</xdr:col>
      <xdr:colOff>384976</xdr:colOff>
      <xdr:row>30</xdr:row>
      <xdr:rowOff>71438</xdr:rowOff>
    </xdr:from>
    <xdr:to>
      <xdr:col>10</xdr:col>
      <xdr:colOff>281787</xdr:colOff>
      <xdr:row>33</xdr:row>
      <xdr:rowOff>95250</xdr:rowOff>
    </xdr:to>
    <xdr:grpSp>
      <xdr:nvGrpSpPr>
        <xdr:cNvPr id="13" name="ADVERTENCIA">
          <a:extLst>
            <a:ext uri="{FF2B5EF4-FFF2-40B4-BE49-F238E27FC236}">
              <a16:creationId xmlns:a16="http://schemas.microsoft.com/office/drawing/2014/main" id="{00000000-0008-0000-0100-00000D000000}"/>
            </a:ext>
          </a:extLst>
        </xdr:cNvPr>
        <xdr:cNvGrpSpPr/>
      </xdr:nvGrpSpPr>
      <xdr:grpSpPr>
        <a:xfrm>
          <a:off x="6480976" y="5786438"/>
          <a:ext cx="1420811" cy="595312"/>
          <a:chOff x="11882436" y="5334000"/>
          <a:chExt cx="1420811" cy="595312"/>
        </a:xfrm>
      </xdr:grpSpPr>
      <xdr:sp macro="[0]!ADVERTENCIA" textlink="">
        <xdr:nvSpPr>
          <xdr:cNvPr id="40" name="Octágono 39">
            <a:extLst>
              <a:ext uri="{FF2B5EF4-FFF2-40B4-BE49-F238E27FC236}">
                <a16:creationId xmlns:a16="http://schemas.microsoft.com/office/drawing/2014/main" id="{00000000-0008-0000-0100-000028000000}"/>
              </a:ext>
            </a:extLst>
          </xdr:cNvPr>
          <xdr:cNvSpPr/>
        </xdr:nvSpPr>
        <xdr:spPr>
          <a:xfrm>
            <a:off x="11882436" y="5334000"/>
            <a:ext cx="1345355" cy="595312"/>
          </a:xfrm>
          <a:prstGeom prst="octagon">
            <a:avLst>
              <a:gd name="adj" fmla="val 13140"/>
            </a:avLst>
          </a:prstGeom>
          <a:solidFill>
            <a:srgbClr val="F5333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ADVERTENCIA" textlink="">
        <xdr:nvSpPr>
          <xdr:cNvPr id="42" name="CuadroTexto 41">
            <a:extLst>
              <a:ext uri="{FF2B5EF4-FFF2-40B4-BE49-F238E27FC236}">
                <a16:creationId xmlns:a16="http://schemas.microsoft.com/office/drawing/2014/main" id="{00000000-0008-0000-0100-00002A000000}"/>
              </a:ext>
            </a:extLst>
          </xdr:cNvPr>
          <xdr:cNvSpPr txBox="1"/>
        </xdr:nvSpPr>
        <xdr:spPr>
          <a:xfrm>
            <a:off x="12163386" y="5353844"/>
            <a:ext cx="1139861" cy="555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solidFill>
                  <a:schemeClr val="bg1"/>
                </a:solidFill>
                <a:latin typeface="PT Sans Narrow" panose="020B0506020203020204" pitchFamily="34" charset="0"/>
              </a:rPr>
              <a:t>ADVERTENCIA Y REFERENCIAS</a:t>
            </a:r>
          </a:p>
        </xdr:txBody>
      </xdr:sp>
      <xdr:pic macro="[0]!ADVERTENCIA">
        <xdr:nvPicPr>
          <xdr:cNvPr id="52" name="Imagen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906251" y="5453062"/>
            <a:ext cx="345281" cy="345281"/>
          </a:xfrm>
          <a:prstGeom prst="rect">
            <a:avLst/>
          </a:prstGeom>
        </xdr:spPr>
      </xdr:pic>
    </xdr:grpSp>
    <xdr:clientData/>
  </xdr:twoCellAnchor>
  <xdr:twoCellAnchor>
    <xdr:from>
      <xdr:col>11</xdr:col>
      <xdr:colOff>207967</xdr:colOff>
      <xdr:row>28</xdr:row>
      <xdr:rowOff>30656</xdr:rowOff>
    </xdr:from>
    <xdr:to>
      <xdr:col>13</xdr:col>
      <xdr:colOff>557215</xdr:colOff>
      <xdr:row>31</xdr:row>
      <xdr:rowOff>107156</xdr:rowOff>
    </xdr:to>
    <xdr:grpSp>
      <xdr:nvGrpSpPr>
        <xdr:cNvPr id="6" name="MANUAL TÉCNICO">
          <a:hlinkClick xmlns:r="http://schemas.openxmlformats.org/officeDocument/2006/relationships" r:id="rId18"/>
          <a:extLst>
            <a:ext uri="{FF2B5EF4-FFF2-40B4-BE49-F238E27FC236}">
              <a16:creationId xmlns:a16="http://schemas.microsoft.com/office/drawing/2014/main" id="{00000000-0008-0000-0100-000006000000}"/>
            </a:ext>
          </a:extLst>
        </xdr:cNvPr>
        <xdr:cNvGrpSpPr/>
      </xdr:nvGrpSpPr>
      <xdr:grpSpPr>
        <a:xfrm>
          <a:off x="8589967" y="5364656"/>
          <a:ext cx="1873248" cy="648000"/>
          <a:chOff x="8720667" y="4540245"/>
          <a:chExt cx="1873248" cy="635001"/>
        </a:xfrm>
      </xdr:grpSpPr>
      <xdr:sp macro="" textlink="">
        <xdr:nvSpPr>
          <xdr:cNvPr id="14" name="Octágono 13">
            <a:extLst>
              <a:ext uri="{FF2B5EF4-FFF2-40B4-BE49-F238E27FC236}">
                <a16:creationId xmlns:a16="http://schemas.microsoft.com/office/drawing/2014/main" id="{00000000-0008-0000-0100-00000E000000}"/>
              </a:ext>
            </a:extLst>
          </xdr:cNvPr>
          <xdr:cNvSpPr/>
        </xdr:nvSpPr>
        <xdr:spPr>
          <a:xfrm>
            <a:off x="8720667" y="4540245"/>
            <a:ext cx="1773764" cy="635001"/>
          </a:xfrm>
          <a:prstGeom prst="octagon">
            <a:avLst>
              <a:gd name="adj" fmla="val 1314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a:off x="9091082" y="4561412"/>
            <a:ext cx="1502833" cy="5926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a:solidFill>
                  <a:schemeClr val="bg1"/>
                </a:solidFill>
                <a:latin typeface="PT Sans Narrow" panose="020B0506020203020204" pitchFamily="34" charset="0"/>
              </a:rPr>
              <a:t>DESCARGAR FICHA</a:t>
            </a:r>
            <a:r>
              <a:rPr lang="es-CO" sz="1400" b="1" baseline="0">
                <a:solidFill>
                  <a:schemeClr val="bg1"/>
                </a:solidFill>
                <a:latin typeface="PT Sans Narrow" panose="020B0506020203020204" pitchFamily="34" charset="0"/>
              </a:rPr>
              <a:t> TÉCNICA NG</a:t>
            </a:r>
            <a:endParaRPr lang="es-CO" sz="1400" b="1">
              <a:solidFill>
                <a:schemeClr val="bg1"/>
              </a:solidFill>
              <a:latin typeface="PT Sans Narrow" panose="020B0506020203020204" pitchFamily="34" charset="0"/>
            </a:endParaRPr>
          </a:p>
        </xdr:txBody>
      </xdr:sp>
      <xdr:pic>
        <xdr:nvPicPr>
          <xdr:cNvPr id="17" name="Imagen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8826501" y="4624916"/>
            <a:ext cx="444499" cy="44640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740835</xdr:colOff>
      <xdr:row>0</xdr:row>
      <xdr:rowOff>7703</xdr:rowOff>
    </xdr:from>
    <xdr:to>
      <xdr:col>14</xdr:col>
      <xdr:colOff>11829</xdr:colOff>
      <xdr:row>41</xdr:row>
      <xdr:rowOff>120803</xdr:rowOff>
    </xdr:to>
    <xdr:sp macro="" textlink="">
      <xdr:nvSpPr>
        <xdr:cNvPr id="41" name="Forma libre: forma 40">
          <a:extLst>
            <a:ext uri="{FF2B5EF4-FFF2-40B4-BE49-F238E27FC236}">
              <a16:creationId xmlns:a16="http://schemas.microsoft.com/office/drawing/2014/main" id="{00000000-0008-0000-0200-000029000000}"/>
            </a:ext>
          </a:extLst>
        </xdr:cNvPr>
        <xdr:cNvSpPr/>
      </xdr:nvSpPr>
      <xdr:spPr>
        <a:xfrm>
          <a:off x="3788835" y="7703"/>
          <a:ext cx="6890994" cy="7923600"/>
        </a:xfrm>
        <a:custGeom>
          <a:avLst/>
          <a:gdLst>
            <a:gd name="connsiteX0" fmla="*/ 289462 w 6890994"/>
            <a:gd name="connsiteY0" fmla="*/ 845352 h 7923600"/>
            <a:gd name="connsiteX1" fmla="*/ 78129 w 6890994"/>
            <a:gd name="connsiteY1" fmla="*/ 1056685 h 7923600"/>
            <a:gd name="connsiteX2" fmla="*/ 78129 w 6890994"/>
            <a:gd name="connsiteY2" fmla="*/ 2774967 h 7923600"/>
            <a:gd name="connsiteX3" fmla="*/ 289462 w 6890994"/>
            <a:gd name="connsiteY3" fmla="*/ 2986300 h 7923600"/>
            <a:gd name="connsiteX4" fmla="*/ 6601531 w 6890994"/>
            <a:gd name="connsiteY4" fmla="*/ 2986300 h 7923600"/>
            <a:gd name="connsiteX5" fmla="*/ 6812864 w 6890994"/>
            <a:gd name="connsiteY5" fmla="*/ 2774967 h 7923600"/>
            <a:gd name="connsiteX6" fmla="*/ 6812864 w 6890994"/>
            <a:gd name="connsiteY6" fmla="*/ 1056685 h 7923600"/>
            <a:gd name="connsiteX7" fmla="*/ 6601531 w 6890994"/>
            <a:gd name="connsiteY7" fmla="*/ 845352 h 7923600"/>
            <a:gd name="connsiteX8" fmla="*/ 289766 w 6890994"/>
            <a:gd name="connsiteY8" fmla="*/ 0 h 7923600"/>
            <a:gd name="connsiteX9" fmla="*/ 6601228 w 6890994"/>
            <a:gd name="connsiteY9" fmla="*/ 0 h 7923600"/>
            <a:gd name="connsiteX10" fmla="*/ 6890994 w 6890994"/>
            <a:gd name="connsiteY10" fmla="*/ 289766 h 7923600"/>
            <a:gd name="connsiteX11" fmla="*/ 6890994 w 6890994"/>
            <a:gd name="connsiteY11" fmla="*/ 7633834 h 7923600"/>
            <a:gd name="connsiteX12" fmla="*/ 6601228 w 6890994"/>
            <a:gd name="connsiteY12" fmla="*/ 7923600 h 7923600"/>
            <a:gd name="connsiteX13" fmla="*/ 289766 w 6890994"/>
            <a:gd name="connsiteY13" fmla="*/ 7923600 h 7923600"/>
            <a:gd name="connsiteX14" fmla="*/ 0 w 6890994"/>
            <a:gd name="connsiteY14" fmla="*/ 7633834 h 7923600"/>
            <a:gd name="connsiteX15" fmla="*/ 0 w 6890994"/>
            <a:gd name="connsiteY15" fmla="*/ 289766 h 7923600"/>
            <a:gd name="connsiteX16" fmla="*/ 289766 w 6890994"/>
            <a:gd name="connsiteY16" fmla="*/ 0 h 7923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6890994" h="7923600">
              <a:moveTo>
                <a:pt x="289462" y="845352"/>
              </a:moveTo>
              <a:cubicBezTo>
                <a:pt x="172746" y="845352"/>
                <a:pt x="78129" y="939969"/>
                <a:pt x="78129" y="1056685"/>
              </a:cubicBezTo>
              <a:lnTo>
                <a:pt x="78129" y="2774967"/>
              </a:lnTo>
              <a:cubicBezTo>
                <a:pt x="78129" y="2891683"/>
                <a:pt x="172746" y="2986300"/>
                <a:pt x="289462" y="2986300"/>
              </a:cubicBezTo>
              <a:lnTo>
                <a:pt x="6601531" y="2986300"/>
              </a:lnTo>
              <a:cubicBezTo>
                <a:pt x="6718247" y="2986300"/>
                <a:pt x="6812864" y="2891683"/>
                <a:pt x="6812864" y="2774967"/>
              </a:cubicBezTo>
              <a:lnTo>
                <a:pt x="6812864" y="1056685"/>
              </a:lnTo>
              <a:cubicBezTo>
                <a:pt x="6812864" y="939969"/>
                <a:pt x="6718247" y="845352"/>
                <a:pt x="6601531" y="845352"/>
              </a:cubicBezTo>
              <a:close/>
              <a:moveTo>
                <a:pt x="289766" y="0"/>
              </a:moveTo>
              <a:lnTo>
                <a:pt x="6601228" y="0"/>
              </a:lnTo>
              <a:cubicBezTo>
                <a:pt x="6761261" y="0"/>
                <a:pt x="6890994" y="129733"/>
                <a:pt x="6890994" y="289766"/>
              </a:cubicBezTo>
              <a:lnTo>
                <a:pt x="6890994" y="7633834"/>
              </a:lnTo>
              <a:cubicBezTo>
                <a:pt x="6890994" y="7793867"/>
                <a:pt x="6761261" y="7923600"/>
                <a:pt x="6601228" y="7923600"/>
              </a:cubicBezTo>
              <a:lnTo>
                <a:pt x="289766" y="7923600"/>
              </a:lnTo>
              <a:cubicBezTo>
                <a:pt x="129733" y="7923600"/>
                <a:pt x="0" y="7793867"/>
                <a:pt x="0" y="7633834"/>
              </a:cubicBezTo>
              <a:lnTo>
                <a:pt x="0" y="289766"/>
              </a:lnTo>
              <a:cubicBezTo>
                <a:pt x="0" y="129733"/>
                <a:pt x="129733" y="0"/>
                <a:pt x="289766" y="0"/>
              </a:cubicBez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clientData/>
  </xdr:twoCellAnchor>
  <xdr:twoCellAnchor>
    <xdr:from>
      <xdr:col>4</xdr:col>
      <xdr:colOff>734918</xdr:colOff>
      <xdr:row>0</xdr:row>
      <xdr:rowOff>19609</xdr:rowOff>
    </xdr:from>
    <xdr:to>
      <xdr:col>8</xdr:col>
      <xdr:colOff>392206</xdr:colOff>
      <xdr:row>3</xdr:row>
      <xdr:rowOff>142874</xdr:rowOff>
    </xdr:to>
    <xdr:sp macro="" textlink="">
      <xdr:nvSpPr>
        <xdr:cNvPr id="5" name="Marcador de texto 2">
          <a:extLst>
            <a:ext uri="{FF2B5EF4-FFF2-40B4-BE49-F238E27FC236}">
              <a16:creationId xmlns:a16="http://schemas.microsoft.com/office/drawing/2014/main" id="{00000000-0008-0000-0200-000005000000}"/>
            </a:ext>
          </a:extLst>
        </xdr:cNvPr>
        <xdr:cNvSpPr>
          <a:spLocks noGrp="1"/>
        </xdr:cNvSpPr>
      </xdr:nvSpPr>
      <xdr:spPr>
        <a:xfrm flipH="1">
          <a:off x="3782918" y="19609"/>
          <a:ext cx="2705288"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8</xdr:col>
      <xdr:colOff>380999</xdr:colOff>
      <xdr:row>0</xdr:row>
      <xdr:rowOff>19609</xdr:rowOff>
    </xdr:from>
    <xdr:to>
      <xdr:col>11</xdr:col>
      <xdr:colOff>571500</xdr:colOff>
      <xdr:row>3</xdr:row>
      <xdr:rowOff>142874</xdr:rowOff>
    </xdr:to>
    <xdr:sp macro="" textlink="">
      <xdr:nvSpPr>
        <xdr:cNvPr id="6" name="Marcador de texto 2">
          <a:extLst>
            <a:ext uri="{FF2B5EF4-FFF2-40B4-BE49-F238E27FC236}">
              <a16:creationId xmlns:a16="http://schemas.microsoft.com/office/drawing/2014/main" id="{00000000-0008-0000-0200-000006000000}"/>
            </a:ext>
          </a:extLst>
        </xdr:cNvPr>
        <xdr:cNvSpPr>
          <a:spLocks noGrp="1"/>
        </xdr:cNvSpPr>
      </xdr:nvSpPr>
      <xdr:spPr>
        <a:xfrm flipV="1">
          <a:off x="6476999" y="19609"/>
          <a:ext cx="2476501"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oneCell">
    <xdr:from>
      <xdr:col>15</xdr:col>
      <xdr:colOff>681067</xdr:colOff>
      <xdr:row>37</xdr:row>
      <xdr:rowOff>158751</xdr:rowOff>
    </xdr:from>
    <xdr:to>
      <xdr:col>17</xdr:col>
      <xdr:colOff>854309</xdr:colOff>
      <xdr:row>41</xdr:row>
      <xdr:rowOff>190313</xdr:rowOff>
    </xdr:to>
    <xdr:pic>
      <xdr:nvPicPr>
        <xdr:cNvPr id="7" name="Imagen 6" descr="Pavco">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11067" y="8921751"/>
          <a:ext cx="1701052" cy="793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286993</xdr:colOff>
      <xdr:row>0</xdr:row>
      <xdr:rowOff>19609</xdr:rowOff>
    </xdr:from>
    <xdr:to>
      <xdr:col>14</xdr:col>
      <xdr:colOff>11516</xdr:colOff>
      <xdr:row>3</xdr:row>
      <xdr:rowOff>142874</xdr:rowOff>
    </xdr:to>
    <xdr:sp macro="" textlink="">
      <xdr:nvSpPr>
        <xdr:cNvPr id="8" name="Marcador de texto 2">
          <a:extLst>
            <a:ext uri="{FF2B5EF4-FFF2-40B4-BE49-F238E27FC236}">
              <a16:creationId xmlns:a16="http://schemas.microsoft.com/office/drawing/2014/main" id="{00000000-0008-0000-0200-000008000000}"/>
            </a:ext>
          </a:extLst>
        </xdr:cNvPr>
        <xdr:cNvSpPr>
          <a:spLocks noGrp="1"/>
        </xdr:cNvSpPr>
      </xdr:nvSpPr>
      <xdr:spPr>
        <a:xfrm>
          <a:off x="9430993" y="19609"/>
          <a:ext cx="1248523"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11</xdr:col>
      <xdr:colOff>550333</xdr:colOff>
      <xdr:row>0</xdr:row>
      <xdr:rowOff>19609</xdr:rowOff>
    </xdr:from>
    <xdr:to>
      <xdr:col>12</xdr:col>
      <xdr:colOff>287616</xdr:colOff>
      <xdr:row>3</xdr:row>
      <xdr:rowOff>142874</xdr:rowOff>
    </xdr:to>
    <xdr:sp macro="" textlink="">
      <xdr:nvSpPr>
        <xdr:cNvPr id="9" name="Marcador de texto 2">
          <a:extLst>
            <a:ext uri="{FF2B5EF4-FFF2-40B4-BE49-F238E27FC236}">
              <a16:creationId xmlns:a16="http://schemas.microsoft.com/office/drawing/2014/main" id="{00000000-0008-0000-0200-000009000000}"/>
            </a:ext>
          </a:extLst>
        </xdr:cNvPr>
        <xdr:cNvSpPr>
          <a:spLocks noGrp="1"/>
        </xdr:cNvSpPr>
      </xdr:nvSpPr>
      <xdr:spPr>
        <a:xfrm flipH="1">
          <a:off x="8932333" y="19609"/>
          <a:ext cx="499283"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126624" r="-315212"/>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4</xdr:col>
      <xdr:colOff>105832</xdr:colOff>
      <xdr:row>4</xdr:row>
      <xdr:rowOff>147636</xdr:rowOff>
    </xdr:from>
    <xdr:to>
      <xdr:col>10</xdr:col>
      <xdr:colOff>751415</xdr:colOff>
      <xdr:row>6</xdr:row>
      <xdr:rowOff>136430</xdr:rowOff>
    </xdr:to>
    <xdr:sp macro="" textlink="">
      <xdr:nvSpPr>
        <xdr:cNvPr id="11" name="Rectángulo: esquinas diagonales cortadas 10">
          <a:extLst>
            <a:ext uri="{FF2B5EF4-FFF2-40B4-BE49-F238E27FC236}">
              <a16:creationId xmlns:a16="http://schemas.microsoft.com/office/drawing/2014/main" id="{00000000-0008-0000-0200-00000B000000}"/>
            </a:ext>
          </a:extLst>
        </xdr:cNvPr>
        <xdr:cNvSpPr/>
      </xdr:nvSpPr>
      <xdr:spPr>
        <a:xfrm flipV="1">
          <a:off x="3153832" y="909636"/>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126999</xdr:colOff>
      <xdr:row>4</xdr:row>
      <xdr:rowOff>160524</xdr:rowOff>
    </xdr:from>
    <xdr:to>
      <xdr:col>11</xdr:col>
      <xdr:colOff>455082</xdr:colOff>
      <xdr:row>6</xdr:row>
      <xdr:rowOff>128587</xdr:rowOff>
    </xdr:to>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3174999" y="922524"/>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700" b="1">
              <a:solidFill>
                <a:schemeClr val="bg1"/>
              </a:solidFill>
              <a:latin typeface="PT Sans Narrow" panose="020B0506020203020204" pitchFamily="34" charset="0"/>
            </a:rPr>
            <a:t>INGRESA EL NOMBRE Y DATOS BÁSICOS DE TU PROYECTO</a:t>
          </a:r>
        </a:p>
      </xdr:txBody>
    </xdr:sp>
    <xdr:clientData/>
  </xdr:twoCellAnchor>
  <xdr:twoCellAnchor>
    <xdr:from>
      <xdr:col>5</xdr:col>
      <xdr:colOff>15564</xdr:colOff>
      <xdr:row>24</xdr:row>
      <xdr:rowOff>63500</xdr:rowOff>
    </xdr:from>
    <xdr:to>
      <xdr:col>13</xdr:col>
      <xdr:colOff>654299</xdr:colOff>
      <xdr:row>37</xdr:row>
      <xdr:rowOff>56031</xdr:rowOff>
    </xdr:to>
    <xdr:sp macro="" textlink="">
      <xdr:nvSpPr>
        <xdr:cNvPr id="22" name="Rectángulo: esquinas redondeadas 21">
          <a:extLst>
            <a:ext uri="{FF2B5EF4-FFF2-40B4-BE49-F238E27FC236}">
              <a16:creationId xmlns:a16="http://schemas.microsoft.com/office/drawing/2014/main" id="{00000000-0008-0000-0200-000016000000}"/>
            </a:ext>
          </a:extLst>
        </xdr:cNvPr>
        <xdr:cNvSpPr/>
      </xdr:nvSpPr>
      <xdr:spPr>
        <a:xfrm>
          <a:off x="3825564" y="6350000"/>
          <a:ext cx="6734735" cy="2469031"/>
        </a:xfrm>
        <a:prstGeom prst="roundRect">
          <a:avLst>
            <a:gd name="adj" fmla="val 9871"/>
          </a:avLst>
        </a:prstGeom>
        <a:solidFill>
          <a:srgbClr val="2B2B6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42958</xdr:colOff>
      <xdr:row>25</xdr:row>
      <xdr:rowOff>183945</xdr:rowOff>
    </xdr:from>
    <xdr:to>
      <xdr:col>12</xdr:col>
      <xdr:colOff>667374</xdr:colOff>
      <xdr:row>37</xdr:row>
      <xdr:rowOff>1</xdr:rowOff>
    </xdr:to>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3852958" y="6660945"/>
          <a:ext cx="5958416" cy="2102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a:solidFill>
                <a:schemeClr val="bg1"/>
              </a:solidFill>
              <a:latin typeface="PT Sans Narrow" panose="020B0506020203020204" pitchFamily="34" charset="0"/>
            </a:rPr>
            <a:t>En caso de dudas acerca del uso de la hoja de cálculo, puedes contactar al área técnica y de ingeniería de Pavco Wavin.</a:t>
          </a:r>
          <a:r>
            <a:rPr lang="es-CO" sz="1200" b="1" baseline="0">
              <a:solidFill>
                <a:schemeClr val="bg1"/>
              </a:solidFill>
              <a:latin typeface="PT Sans Narrow" panose="020B0506020203020204" pitchFamily="34" charset="0"/>
            </a:rPr>
            <a:t> Escribiendo a</a:t>
          </a:r>
          <a:r>
            <a:rPr lang="es-CO" sz="1200" b="1">
              <a:solidFill>
                <a:schemeClr val="bg1"/>
              </a:solidFill>
              <a:latin typeface="PT Sans Narrow" panose="020B0506020203020204" pitchFamily="34" charset="0"/>
            </a:rPr>
            <a:t> los siguientes correos electrónicos:</a:t>
          </a:r>
        </a:p>
        <a:p>
          <a:endParaRPr lang="es-CO" sz="1200" b="1">
            <a:solidFill>
              <a:schemeClr val="bg1"/>
            </a:solidFill>
            <a:latin typeface="PT Sans Narrow" panose="020B0506020203020204" pitchFamily="34" charset="0"/>
          </a:endParaRPr>
        </a:p>
        <a:p>
          <a:pPr lvl="1"/>
          <a:r>
            <a:rPr lang="es-CO" sz="1200" b="1">
              <a:solidFill>
                <a:schemeClr val="bg1"/>
              </a:solidFill>
              <a:latin typeface="PT Sans Narrow" panose="020B0506020203020204" pitchFamily="34" charset="0"/>
            </a:rPr>
            <a:t>-</a:t>
          </a:r>
          <a:r>
            <a:rPr lang="es-CO" sz="1200" b="1" baseline="0">
              <a:solidFill>
                <a:schemeClr val="bg1"/>
              </a:solidFill>
              <a:latin typeface="PT Sans Narrow" panose="020B0506020203020204" pitchFamily="34" charset="0"/>
            </a:rPr>
            <a:t> juan.zambrano@wavin.com</a:t>
          </a:r>
        </a:p>
        <a:p>
          <a:pPr lvl="1"/>
          <a:r>
            <a:rPr lang="es-CO" sz="1200" b="1" baseline="0">
              <a:solidFill>
                <a:schemeClr val="bg1"/>
              </a:solidFill>
              <a:latin typeface="PT Sans Narrow" panose="020B0506020203020204" pitchFamily="34" charset="0"/>
            </a:rPr>
            <a:t>- juan.solorzano@wavin.com</a:t>
          </a:r>
        </a:p>
        <a:p>
          <a:pPr lvl="1"/>
          <a:r>
            <a:rPr lang="es-CO" sz="1200" b="1">
              <a:solidFill>
                <a:schemeClr val="bg1"/>
              </a:solidFill>
              <a:latin typeface="PT Sans Narrow" panose="020B0506020203020204" pitchFamily="34" charset="0"/>
            </a:rPr>
            <a:t>- angela.donoso@wavin.com</a:t>
          </a:r>
        </a:p>
        <a:p>
          <a:endParaRPr lang="es-CO" sz="1200" b="1">
            <a:solidFill>
              <a:schemeClr val="bg1"/>
            </a:solidFill>
            <a:latin typeface="PT Sans Narrow" panose="020B0506020203020204" pitchFamily="34" charset="0"/>
          </a:endParaRPr>
        </a:p>
        <a:p>
          <a:r>
            <a:rPr lang="es-CO" sz="1200" b="1">
              <a:solidFill>
                <a:schemeClr val="bg1"/>
              </a:solidFill>
              <a:latin typeface="PT Sans Narrow" panose="020B0506020203020204" pitchFamily="34" charset="0"/>
            </a:rPr>
            <a:t>De</a:t>
          </a:r>
          <a:r>
            <a:rPr lang="es-CO" sz="1200" b="1" baseline="0">
              <a:solidFill>
                <a:schemeClr val="bg1"/>
              </a:solidFill>
              <a:latin typeface="PT Sans Narrow" panose="020B0506020203020204" pitchFamily="34" charset="0"/>
            </a:rPr>
            <a:t> igual manera en caso de que tengas sugerencias, comentarios o reportar errores en esta hoja de cálculo lo puedes hacer a través de estos mismos e-mails.</a:t>
          </a:r>
        </a:p>
        <a:p>
          <a:endParaRPr lang="es-CO" sz="1200" b="1" baseline="0">
            <a:solidFill>
              <a:schemeClr val="bg1"/>
            </a:solidFill>
            <a:latin typeface="PT Sans Narrow" panose="020B0506020203020204" pitchFamily="34" charset="0"/>
          </a:endParaRPr>
        </a:p>
        <a:p>
          <a:endParaRPr lang="es-CO" sz="1200" b="1">
            <a:solidFill>
              <a:schemeClr val="bg1"/>
            </a:solidFill>
            <a:latin typeface="PT Sans Narrow" panose="020B0506020203020204" pitchFamily="34" charset="0"/>
          </a:endParaRPr>
        </a:p>
      </xdr:txBody>
    </xdr:sp>
    <xdr:clientData/>
  </xdr:twoCellAnchor>
  <xdr:twoCellAnchor>
    <xdr:from>
      <xdr:col>4</xdr:col>
      <xdr:colOff>740833</xdr:colOff>
      <xdr:row>21</xdr:row>
      <xdr:rowOff>0</xdr:rowOff>
    </xdr:from>
    <xdr:to>
      <xdr:col>9</xdr:col>
      <xdr:colOff>254000</xdr:colOff>
      <xdr:row>25</xdr:row>
      <xdr:rowOff>169334</xdr:rowOff>
    </xdr:to>
    <xdr:sp macro="" textlink="">
      <xdr:nvSpPr>
        <xdr:cNvPr id="24" name="Rectángulo: una sola esquina cortada 23">
          <a:extLst>
            <a:ext uri="{FF2B5EF4-FFF2-40B4-BE49-F238E27FC236}">
              <a16:creationId xmlns:a16="http://schemas.microsoft.com/office/drawing/2014/main" id="{00000000-0008-0000-0200-000018000000}"/>
            </a:ext>
          </a:extLst>
        </xdr:cNvPr>
        <xdr:cNvSpPr/>
      </xdr:nvSpPr>
      <xdr:spPr>
        <a:xfrm>
          <a:off x="3788833" y="5715000"/>
          <a:ext cx="3323167" cy="931334"/>
        </a:xfrm>
        <a:prstGeom prst="snip1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222248</xdr:colOff>
      <xdr:row>21</xdr:row>
      <xdr:rowOff>105833</xdr:rowOff>
    </xdr:from>
    <xdr:to>
      <xdr:col>9</xdr:col>
      <xdr:colOff>137584</xdr:colOff>
      <xdr:row>25</xdr:row>
      <xdr:rowOff>116417</xdr:rowOff>
    </xdr:to>
    <xdr:sp macro="" textlink="">
      <xdr:nvSpPr>
        <xdr:cNvPr id="25" name="CuadroTexto 24">
          <a:extLst>
            <a:ext uri="{FF2B5EF4-FFF2-40B4-BE49-F238E27FC236}">
              <a16:creationId xmlns:a16="http://schemas.microsoft.com/office/drawing/2014/main" id="{00000000-0008-0000-0200-000019000000}"/>
            </a:ext>
          </a:extLst>
        </xdr:cNvPr>
        <xdr:cNvSpPr txBox="1"/>
      </xdr:nvSpPr>
      <xdr:spPr>
        <a:xfrm>
          <a:off x="4794248" y="4106333"/>
          <a:ext cx="2201336" cy="772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b="1" u="sng">
              <a:solidFill>
                <a:sysClr val="windowText" lastClr="000000"/>
              </a:solidFill>
              <a:latin typeface="PT Sans Narrow" panose="020B0506020203020204" pitchFamily="34" charset="0"/>
            </a:rPr>
            <a:t>¿REQUIERES DE AYUDA TÉCNICA?</a:t>
          </a:r>
        </a:p>
      </xdr:txBody>
    </xdr:sp>
    <xdr:clientData/>
  </xdr:twoCellAnchor>
  <xdr:twoCellAnchor>
    <xdr:from>
      <xdr:col>4</xdr:col>
      <xdr:colOff>730250</xdr:colOff>
      <xdr:row>38</xdr:row>
      <xdr:rowOff>67235</xdr:rowOff>
    </xdr:from>
    <xdr:to>
      <xdr:col>8</xdr:col>
      <xdr:colOff>387538</xdr:colOff>
      <xdr:row>42</xdr:row>
      <xdr:rowOff>0</xdr:rowOff>
    </xdr:to>
    <xdr:sp macro="" textlink="">
      <xdr:nvSpPr>
        <xdr:cNvPr id="27" name="Marcador de texto 2">
          <a:extLst>
            <a:ext uri="{FF2B5EF4-FFF2-40B4-BE49-F238E27FC236}">
              <a16:creationId xmlns:a16="http://schemas.microsoft.com/office/drawing/2014/main" id="{00000000-0008-0000-0200-00001B000000}"/>
            </a:ext>
          </a:extLst>
        </xdr:cNvPr>
        <xdr:cNvSpPr>
          <a:spLocks noGrp="1"/>
        </xdr:cNvSpPr>
      </xdr:nvSpPr>
      <xdr:spPr>
        <a:xfrm flipH="1" flipV="1">
          <a:off x="3778250" y="9020735"/>
          <a:ext cx="2705288"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8</xdr:col>
      <xdr:colOff>376331</xdr:colOff>
      <xdr:row>38</xdr:row>
      <xdr:rowOff>67235</xdr:rowOff>
    </xdr:from>
    <xdr:to>
      <xdr:col>11</xdr:col>
      <xdr:colOff>566832</xdr:colOff>
      <xdr:row>42</xdr:row>
      <xdr:rowOff>0</xdr:rowOff>
    </xdr:to>
    <xdr:sp macro="" textlink="">
      <xdr:nvSpPr>
        <xdr:cNvPr id="28" name="Marcador de texto 2">
          <a:extLst>
            <a:ext uri="{FF2B5EF4-FFF2-40B4-BE49-F238E27FC236}">
              <a16:creationId xmlns:a16="http://schemas.microsoft.com/office/drawing/2014/main" id="{00000000-0008-0000-0200-00001C000000}"/>
            </a:ext>
          </a:extLst>
        </xdr:cNvPr>
        <xdr:cNvSpPr>
          <a:spLocks noGrp="1"/>
        </xdr:cNvSpPr>
      </xdr:nvSpPr>
      <xdr:spPr>
        <a:xfrm>
          <a:off x="6472331" y="9020735"/>
          <a:ext cx="2476501"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12</xdr:col>
      <xdr:colOff>282325</xdr:colOff>
      <xdr:row>38</xdr:row>
      <xdr:rowOff>67235</xdr:rowOff>
    </xdr:from>
    <xdr:to>
      <xdr:col>14</xdr:col>
      <xdr:colOff>6848</xdr:colOff>
      <xdr:row>42</xdr:row>
      <xdr:rowOff>0</xdr:rowOff>
    </xdr:to>
    <xdr:sp macro="" textlink="">
      <xdr:nvSpPr>
        <xdr:cNvPr id="29" name="Marcador de texto 2">
          <a:extLst>
            <a:ext uri="{FF2B5EF4-FFF2-40B4-BE49-F238E27FC236}">
              <a16:creationId xmlns:a16="http://schemas.microsoft.com/office/drawing/2014/main" id="{00000000-0008-0000-0200-00001D000000}"/>
            </a:ext>
          </a:extLst>
        </xdr:cNvPr>
        <xdr:cNvSpPr>
          <a:spLocks noGrp="1"/>
        </xdr:cNvSpPr>
      </xdr:nvSpPr>
      <xdr:spPr>
        <a:xfrm flipV="1">
          <a:off x="9426325" y="9020735"/>
          <a:ext cx="1248523"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11</xdr:col>
      <xdr:colOff>391582</xdr:colOff>
      <xdr:row>38</xdr:row>
      <xdr:rowOff>67235</xdr:rowOff>
    </xdr:from>
    <xdr:to>
      <xdr:col>12</xdr:col>
      <xdr:colOff>296329</xdr:colOff>
      <xdr:row>42</xdr:row>
      <xdr:rowOff>0</xdr:rowOff>
    </xdr:to>
    <xdr:sp macro="" textlink="">
      <xdr:nvSpPr>
        <xdr:cNvPr id="30" name="Marcador de texto 2">
          <a:extLst>
            <a:ext uri="{FF2B5EF4-FFF2-40B4-BE49-F238E27FC236}">
              <a16:creationId xmlns:a16="http://schemas.microsoft.com/office/drawing/2014/main" id="{00000000-0008-0000-0200-00001E000000}"/>
            </a:ext>
          </a:extLst>
        </xdr:cNvPr>
        <xdr:cNvSpPr>
          <a:spLocks noGrp="1"/>
        </xdr:cNvSpPr>
      </xdr:nvSpPr>
      <xdr:spPr>
        <a:xfrm flipH="1" flipV="1">
          <a:off x="8773582" y="9020735"/>
          <a:ext cx="666747"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94401" r="-211345"/>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0</xdr:col>
      <xdr:colOff>0</xdr:colOff>
      <xdr:row>19</xdr:row>
      <xdr:rowOff>105834</xdr:rowOff>
    </xdr:from>
    <xdr:to>
      <xdr:col>4</xdr:col>
      <xdr:colOff>285750</xdr:colOff>
      <xdr:row>40</xdr:row>
      <xdr:rowOff>0</xdr:rowOff>
    </xdr:to>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0" y="3725334"/>
          <a:ext cx="3333750" cy="3894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i="0">
              <a:solidFill>
                <a:schemeClr val="bg1"/>
              </a:solidFill>
              <a:effectLst/>
              <a:latin typeface="PT Sans Narrow" panose="020B0506020203020204" pitchFamily="34" charset="0"/>
              <a:ea typeface="+mn-ea"/>
              <a:cs typeface="+mn-cs"/>
            </a:rPr>
            <a:t>Bogotá: Autopista Sur # 71-75.</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(601) 782 5000 Ext.:1101 Fax: +57 (601) 782 5020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Cali: Calle 64 Norte 5BN 46. Oficina R01, Centro Empresa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(602) 829 8969 EXT 2809</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Bucaramanga: Calle 30 # 22-129 Oficina 1802, Floridablanca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+57 314 330 2331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Barranquilla: Conmutador: +57 (605) 375 8100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0041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Itagüí - Antioquia: Calle 27 # 41-80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(604) 325 6660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Eje Cafetero: Carrera 17 # 5-58 Oficina 304 , Pereira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0025</a:t>
          </a:r>
          <a:endParaRPr lang="es-CO" sz="1200" b="1">
            <a:solidFill>
              <a:schemeClr val="bg1"/>
            </a:solidFill>
            <a:latin typeface="PT Sans Narrow" panose="020B0506020203020204" pitchFamily="34" charset="0"/>
          </a:endParaRPr>
        </a:p>
      </xdr:txBody>
    </xdr:sp>
    <xdr:clientData/>
  </xdr:twoCellAnchor>
  <xdr:twoCellAnchor>
    <xdr:from>
      <xdr:col>5</xdr:col>
      <xdr:colOff>349250</xdr:colOff>
      <xdr:row>9</xdr:row>
      <xdr:rowOff>127002</xdr:rowOff>
    </xdr:from>
    <xdr:to>
      <xdr:col>6</xdr:col>
      <xdr:colOff>645583</xdr:colOff>
      <xdr:row>11</xdr:row>
      <xdr:rowOff>52919</xdr:rowOff>
    </xdr:to>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4159250" y="1841502"/>
          <a:ext cx="1058333" cy="306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300" b="1">
              <a:solidFill>
                <a:schemeClr val="bg1"/>
              </a:solidFill>
              <a:latin typeface="PT Sans Narrow" panose="020B0506020203020204" pitchFamily="34" charset="0"/>
            </a:rPr>
            <a:t>UBICACIÓN:</a:t>
          </a:r>
        </a:p>
      </xdr:txBody>
    </xdr:sp>
    <xdr:clientData/>
  </xdr:twoCellAnchor>
  <xdr:twoCellAnchor>
    <xdr:from>
      <xdr:col>5</xdr:col>
      <xdr:colOff>349250</xdr:colOff>
      <xdr:row>11</xdr:row>
      <xdr:rowOff>127002</xdr:rowOff>
    </xdr:from>
    <xdr:to>
      <xdr:col>6</xdr:col>
      <xdr:colOff>645583</xdr:colOff>
      <xdr:row>13</xdr:row>
      <xdr:rowOff>52919</xdr:rowOff>
    </xdr:to>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4159250" y="2222502"/>
          <a:ext cx="1058333" cy="306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300" b="1">
              <a:solidFill>
                <a:schemeClr val="bg1"/>
              </a:solidFill>
              <a:latin typeface="PT Sans Narrow" panose="020B0506020203020204" pitchFamily="34" charset="0"/>
            </a:rPr>
            <a:t>DISEÑADOR:</a:t>
          </a:r>
        </a:p>
      </xdr:txBody>
    </xdr:sp>
    <xdr:clientData/>
  </xdr:twoCellAnchor>
  <xdr:twoCellAnchor>
    <xdr:from>
      <xdr:col>5</xdr:col>
      <xdr:colOff>201083</xdr:colOff>
      <xdr:row>12</xdr:row>
      <xdr:rowOff>173566</xdr:rowOff>
    </xdr:from>
    <xdr:to>
      <xdr:col>6</xdr:col>
      <xdr:colOff>645583</xdr:colOff>
      <xdr:row>16</xdr:row>
      <xdr:rowOff>0</xdr:rowOff>
    </xdr:to>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4011083" y="2459566"/>
          <a:ext cx="1206500" cy="588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300" b="1">
              <a:solidFill>
                <a:schemeClr val="bg1"/>
              </a:solidFill>
              <a:latin typeface="PT Sans Narrow" panose="020B0506020203020204" pitchFamily="34" charset="0"/>
            </a:rPr>
            <a:t>CORREO ELECTRÓNICO:</a:t>
          </a:r>
        </a:p>
      </xdr:txBody>
    </xdr:sp>
    <xdr:clientData/>
  </xdr:twoCellAnchor>
  <xdr:twoCellAnchor>
    <xdr:from>
      <xdr:col>9</xdr:col>
      <xdr:colOff>709088</xdr:colOff>
      <xdr:row>16</xdr:row>
      <xdr:rowOff>142875</xdr:rowOff>
    </xdr:from>
    <xdr:to>
      <xdr:col>11</xdr:col>
      <xdr:colOff>751422</xdr:colOff>
      <xdr:row>19</xdr:row>
      <xdr:rowOff>174621</xdr:rowOff>
    </xdr:to>
    <xdr:grpSp>
      <xdr:nvGrpSpPr>
        <xdr:cNvPr id="55" name="SIGUIENTE">
          <a:extLst>
            <a:ext uri="{FF2B5EF4-FFF2-40B4-BE49-F238E27FC236}">
              <a16:creationId xmlns:a16="http://schemas.microsoft.com/office/drawing/2014/main" id="{00000000-0008-0000-0200-000037000000}"/>
            </a:ext>
          </a:extLst>
        </xdr:cNvPr>
        <xdr:cNvGrpSpPr/>
      </xdr:nvGrpSpPr>
      <xdr:grpSpPr>
        <a:xfrm>
          <a:off x="7567088" y="3190875"/>
          <a:ext cx="1566334" cy="603246"/>
          <a:chOff x="7567088" y="3190875"/>
          <a:chExt cx="1566334" cy="603246"/>
        </a:xfrm>
      </xdr:grpSpPr>
      <xdr:sp macro="[0]!Datos_Proy.DDP" textlink="">
        <xdr:nvSpPr>
          <xdr:cNvPr id="19" name="Octágono 18">
            <a:extLst>
              <a:ext uri="{FF2B5EF4-FFF2-40B4-BE49-F238E27FC236}">
                <a16:creationId xmlns:a16="http://schemas.microsoft.com/office/drawing/2014/main" id="{00000000-0008-0000-0200-000013000000}"/>
              </a:ext>
            </a:extLst>
          </xdr:cNvPr>
          <xdr:cNvSpPr/>
        </xdr:nvSpPr>
        <xdr:spPr>
          <a:xfrm>
            <a:off x="7567088" y="3190875"/>
            <a:ext cx="1566334" cy="603246"/>
          </a:xfrm>
          <a:prstGeom prst="octagon">
            <a:avLst>
              <a:gd name="adj" fmla="val 1314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Datos_Proy.DDP" textlink="">
        <xdr:nvSpPr>
          <xdr:cNvPr id="20" name="CuadroTexto 19">
            <a:extLst>
              <a:ext uri="{FF2B5EF4-FFF2-40B4-BE49-F238E27FC236}">
                <a16:creationId xmlns:a16="http://schemas.microsoft.com/office/drawing/2014/main" id="{00000000-0008-0000-0200-000014000000}"/>
              </a:ext>
            </a:extLst>
          </xdr:cNvPr>
          <xdr:cNvSpPr txBox="1"/>
        </xdr:nvSpPr>
        <xdr:spPr>
          <a:xfrm>
            <a:off x="8043338" y="3301470"/>
            <a:ext cx="1090084" cy="331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700" b="1">
                <a:solidFill>
                  <a:schemeClr val="bg1"/>
                </a:solidFill>
                <a:latin typeface="PT Sans Narrow" panose="020B0506020203020204" pitchFamily="34" charset="0"/>
              </a:rPr>
              <a:t>SIGUIENTE</a:t>
            </a:r>
          </a:p>
        </xdr:txBody>
      </xdr:sp>
      <xdr:pic macro="[0]!Datos_Proy.DDP">
        <xdr:nvPicPr>
          <xdr:cNvPr id="43" name="Imagen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51754" y="3286123"/>
            <a:ext cx="423883" cy="414000"/>
          </a:xfrm>
          <a:prstGeom prst="rect">
            <a:avLst/>
          </a:prstGeom>
        </xdr:spPr>
      </xdr:pic>
    </xdr:grpSp>
    <xdr:clientData/>
  </xdr:twoCellAnchor>
  <xdr:twoCellAnchor editAs="oneCell">
    <xdr:from>
      <xdr:col>5</xdr:col>
      <xdr:colOff>222250</xdr:colOff>
      <xdr:row>21</xdr:row>
      <xdr:rowOff>116417</xdr:rowOff>
    </xdr:from>
    <xdr:to>
      <xdr:col>6</xdr:col>
      <xdr:colOff>133240</xdr:colOff>
      <xdr:row>25</xdr:row>
      <xdr:rowOff>29312</xdr:rowOff>
    </xdr:to>
    <xdr:pic>
      <xdr:nvPicPr>
        <xdr:cNvPr id="46" name="Imagen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32250" y="4116917"/>
          <a:ext cx="676800" cy="676800"/>
        </a:xfrm>
        <a:prstGeom prst="rect">
          <a:avLst/>
        </a:prstGeom>
      </xdr:spPr>
    </xdr:pic>
    <xdr:clientData/>
  </xdr:twoCellAnchor>
  <xdr:twoCellAnchor>
    <xdr:from>
      <xdr:col>7</xdr:col>
      <xdr:colOff>275153</xdr:colOff>
      <xdr:row>17</xdr:row>
      <xdr:rowOff>5290</xdr:rowOff>
    </xdr:from>
    <xdr:to>
      <xdr:col>9</xdr:col>
      <xdr:colOff>232812</xdr:colOff>
      <xdr:row>19</xdr:row>
      <xdr:rowOff>121707</xdr:rowOff>
    </xdr:to>
    <xdr:grpSp>
      <xdr:nvGrpSpPr>
        <xdr:cNvPr id="56" name="ATRAS">
          <a:extLst>
            <a:ext uri="{FF2B5EF4-FFF2-40B4-BE49-F238E27FC236}">
              <a16:creationId xmlns:a16="http://schemas.microsoft.com/office/drawing/2014/main" id="{00000000-0008-0000-0200-000038000000}"/>
            </a:ext>
          </a:extLst>
        </xdr:cNvPr>
        <xdr:cNvGrpSpPr/>
      </xdr:nvGrpSpPr>
      <xdr:grpSpPr>
        <a:xfrm>
          <a:off x="5609153" y="3243790"/>
          <a:ext cx="1481659" cy="497417"/>
          <a:chOff x="5609153" y="3243790"/>
          <a:chExt cx="1481659" cy="497417"/>
        </a:xfrm>
      </xdr:grpSpPr>
      <xdr:sp macro="[0]!PORTADA" textlink="">
        <xdr:nvSpPr>
          <xdr:cNvPr id="48" name="Octágono 47">
            <a:extLst>
              <a:ext uri="{FF2B5EF4-FFF2-40B4-BE49-F238E27FC236}">
                <a16:creationId xmlns:a16="http://schemas.microsoft.com/office/drawing/2014/main" id="{00000000-0008-0000-0200-000030000000}"/>
              </a:ext>
            </a:extLst>
          </xdr:cNvPr>
          <xdr:cNvSpPr/>
        </xdr:nvSpPr>
        <xdr:spPr>
          <a:xfrm>
            <a:off x="5609153" y="3243790"/>
            <a:ext cx="1354662" cy="497417"/>
          </a:xfrm>
          <a:prstGeom prst="octagon">
            <a:avLst>
              <a:gd name="adj" fmla="val 1314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PORTADA" textlink="">
        <xdr:nvSpPr>
          <xdr:cNvPr id="49" name="CuadroTexto 48">
            <a:extLst>
              <a:ext uri="{FF2B5EF4-FFF2-40B4-BE49-F238E27FC236}">
                <a16:creationId xmlns:a16="http://schemas.microsoft.com/office/drawing/2014/main" id="{00000000-0008-0000-0200-000031000000}"/>
              </a:ext>
            </a:extLst>
          </xdr:cNvPr>
          <xdr:cNvSpPr txBox="1"/>
        </xdr:nvSpPr>
        <xdr:spPr>
          <a:xfrm>
            <a:off x="6148040" y="3292651"/>
            <a:ext cx="942772" cy="273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700" b="1">
                <a:solidFill>
                  <a:schemeClr val="bg1"/>
                </a:solidFill>
                <a:latin typeface="PT Sans Narrow" panose="020B0506020203020204" pitchFamily="34" charset="0"/>
              </a:rPr>
              <a:t>ATRÁS</a:t>
            </a:r>
          </a:p>
        </xdr:txBody>
      </xdr:sp>
      <xdr:pic macro="[0]!PORTADA">
        <xdr:nvPicPr>
          <xdr:cNvPr id="54" name="Imagen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flipH="1">
            <a:off x="5693817" y="3286122"/>
            <a:ext cx="423883" cy="414000"/>
          </a:xfrm>
          <a:prstGeom prst="rect">
            <a:avLst/>
          </a:prstGeom>
        </xdr:spPr>
      </xdr:pic>
    </xdr:grpSp>
    <xdr:clientData/>
  </xdr:twoCellAnchor>
  <xdr:twoCellAnchor editAs="oneCell">
    <xdr:from>
      <xdr:col>2</xdr:col>
      <xdr:colOff>148166</xdr:colOff>
      <xdr:row>39</xdr:row>
      <xdr:rowOff>179917</xdr:rowOff>
    </xdr:from>
    <xdr:to>
      <xdr:col>2</xdr:col>
      <xdr:colOff>501631</xdr:colOff>
      <xdr:row>41</xdr:row>
      <xdr:rowOff>149392</xdr:rowOff>
    </xdr:to>
    <xdr:pic>
      <xdr:nvPicPr>
        <xdr:cNvPr id="35" name="Imagen 34">
          <a:hlinkClick xmlns:r="http://schemas.openxmlformats.org/officeDocument/2006/relationships" r:id="rId5"/>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72166" y="7609417"/>
          <a:ext cx="351560" cy="350475"/>
        </a:xfrm>
        <a:prstGeom prst="rect">
          <a:avLst/>
        </a:prstGeom>
      </xdr:spPr>
    </xdr:pic>
    <xdr:clientData/>
  </xdr:twoCellAnchor>
  <xdr:twoCellAnchor editAs="oneCell">
    <xdr:from>
      <xdr:col>0</xdr:col>
      <xdr:colOff>412748</xdr:colOff>
      <xdr:row>39</xdr:row>
      <xdr:rowOff>179917</xdr:rowOff>
    </xdr:from>
    <xdr:to>
      <xdr:col>1</xdr:col>
      <xdr:colOff>1399</xdr:colOff>
      <xdr:row>41</xdr:row>
      <xdr:rowOff>149392</xdr:rowOff>
    </xdr:to>
    <xdr:pic>
      <xdr:nvPicPr>
        <xdr:cNvPr id="39" name="Imagen 38">
          <a:hlinkClick xmlns:r="http://schemas.openxmlformats.org/officeDocument/2006/relationships" r:id="rId7"/>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12748" y="7609417"/>
          <a:ext cx="350651" cy="350475"/>
        </a:xfrm>
        <a:prstGeom prst="rect">
          <a:avLst/>
        </a:prstGeom>
      </xdr:spPr>
    </xdr:pic>
    <xdr:clientData/>
  </xdr:twoCellAnchor>
  <xdr:twoCellAnchor editAs="oneCell">
    <xdr:from>
      <xdr:col>1</xdr:col>
      <xdr:colOff>253098</xdr:colOff>
      <xdr:row>40</xdr:row>
      <xdr:rowOff>63498</xdr:rowOff>
    </xdr:from>
    <xdr:to>
      <xdr:col>1</xdr:col>
      <xdr:colOff>660373</xdr:colOff>
      <xdr:row>41</xdr:row>
      <xdr:rowOff>183468</xdr:rowOff>
    </xdr:to>
    <xdr:pic>
      <xdr:nvPicPr>
        <xdr:cNvPr id="40" name="Imagen 39">
          <a:hlinkClick xmlns:r="http://schemas.openxmlformats.org/officeDocument/2006/relationships" r:id="rId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15098" y="7683498"/>
          <a:ext cx="405370" cy="312375"/>
        </a:xfrm>
        <a:prstGeom prst="rect">
          <a:avLst/>
        </a:prstGeom>
      </xdr:spPr>
    </xdr:pic>
    <xdr:clientData/>
  </xdr:twoCellAnchor>
  <xdr:twoCellAnchor>
    <xdr:from>
      <xdr:col>5</xdr:col>
      <xdr:colOff>349250</xdr:colOff>
      <xdr:row>6</xdr:row>
      <xdr:rowOff>190498</xdr:rowOff>
    </xdr:from>
    <xdr:to>
      <xdr:col>6</xdr:col>
      <xdr:colOff>645583</xdr:colOff>
      <xdr:row>10</xdr:row>
      <xdr:rowOff>16932</xdr:rowOff>
    </xdr:to>
    <xdr:sp macro="" textlink="">
      <xdr:nvSpPr>
        <xdr:cNvPr id="42" name="CuadroTexto 41">
          <a:extLst>
            <a:ext uri="{FF2B5EF4-FFF2-40B4-BE49-F238E27FC236}">
              <a16:creationId xmlns:a16="http://schemas.microsoft.com/office/drawing/2014/main" id="{00000000-0008-0000-0200-00002A000000}"/>
            </a:ext>
          </a:extLst>
        </xdr:cNvPr>
        <xdr:cNvSpPr txBox="1"/>
      </xdr:nvSpPr>
      <xdr:spPr>
        <a:xfrm>
          <a:off x="4159250" y="1333498"/>
          <a:ext cx="1058333" cy="588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300" b="1">
              <a:solidFill>
                <a:schemeClr val="bg1"/>
              </a:solidFill>
              <a:latin typeface="PT Sans Narrow" panose="020B0506020203020204" pitchFamily="34" charset="0"/>
            </a:rPr>
            <a:t>NOMBRE DEL PROYECTO: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739589</xdr:colOff>
      <xdr:row>0</xdr:row>
      <xdr:rowOff>7004</xdr:rowOff>
    </xdr:from>
    <xdr:to>
      <xdr:col>14</xdr:col>
      <xdr:colOff>10583</xdr:colOff>
      <xdr:row>54</xdr:row>
      <xdr:rowOff>119064</xdr:rowOff>
    </xdr:to>
    <xdr:sp macro="" textlink="">
      <xdr:nvSpPr>
        <xdr:cNvPr id="57" name="Forma libre: forma 56">
          <a:extLst>
            <a:ext uri="{FF2B5EF4-FFF2-40B4-BE49-F238E27FC236}">
              <a16:creationId xmlns:a16="http://schemas.microsoft.com/office/drawing/2014/main" id="{00000000-0008-0000-0300-000039000000}"/>
            </a:ext>
          </a:extLst>
        </xdr:cNvPr>
        <xdr:cNvSpPr/>
      </xdr:nvSpPr>
      <xdr:spPr>
        <a:xfrm>
          <a:off x="3787589" y="7004"/>
          <a:ext cx="6890994" cy="10399060"/>
        </a:xfrm>
        <a:custGeom>
          <a:avLst/>
          <a:gdLst>
            <a:gd name="connsiteX0" fmla="*/ 313831 w 6890994"/>
            <a:gd name="connsiteY0" fmla="*/ 5577398 h 10399058"/>
            <a:gd name="connsiteX1" fmla="*/ 47314 w 6890994"/>
            <a:gd name="connsiteY1" fmla="*/ 5843915 h 10399058"/>
            <a:gd name="connsiteX2" fmla="*/ 47314 w 6890994"/>
            <a:gd name="connsiteY2" fmla="*/ 8010881 h 10399058"/>
            <a:gd name="connsiteX3" fmla="*/ 313831 w 6890994"/>
            <a:gd name="connsiteY3" fmla="*/ 8277398 h 10399058"/>
            <a:gd name="connsiteX4" fmla="*/ 6515532 w 6890994"/>
            <a:gd name="connsiteY4" fmla="*/ 8277398 h 10399058"/>
            <a:gd name="connsiteX5" fmla="*/ 6782049 w 6890994"/>
            <a:gd name="connsiteY5" fmla="*/ 8010881 h 10399058"/>
            <a:gd name="connsiteX6" fmla="*/ 6782049 w 6890994"/>
            <a:gd name="connsiteY6" fmla="*/ 5843915 h 10399058"/>
            <a:gd name="connsiteX7" fmla="*/ 6515532 w 6890994"/>
            <a:gd name="connsiteY7" fmla="*/ 5577398 h 10399058"/>
            <a:gd name="connsiteX8" fmla="*/ 293524 w 6890994"/>
            <a:gd name="connsiteY8" fmla="*/ 3043649 h 10399058"/>
            <a:gd name="connsiteX9" fmla="*/ 49806 w 6890994"/>
            <a:gd name="connsiteY9" fmla="*/ 3287367 h 10399058"/>
            <a:gd name="connsiteX10" fmla="*/ 49806 w 6890994"/>
            <a:gd name="connsiteY10" fmla="*/ 5268962 h 10399058"/>
            <a:gd name="connsiteX11" fmla="*/ 293524 w 6890994"/>
            <a:gd name="connsiteY11" fmla="*/ 5512680 h 10399058"/>
            <a:gd name="connsiteX12" fmla="*/ 6540823 w 6890994"/>
            <a:gd name="connsiteY12" fmla="*/ 5512680 h 10399058"/>
            <a:gd name="connsiteX13" fmla="*/ 6784541 w 6890994"/>
            <a:gd name="connsiteY13" fmla="*/ 5268962 h 10399058"/>
            <a:gd name="connsiteX14" fmla="*/ 6784541 w 6890994"/>
            <a:gd name="connsiteY14" fmla="*/ 3287367 h 10399058"/>
            <a:gd name="connsiteX15" fmla="*/ 6540823 w 6890994"/>
            <a:gd name="connsiteY15" fmla="*/ 3043649 h 10399058"/>
            <a:gd name="connsiteX16" fmla="*/ 249308 w 6890994"/>
            <a:gd name="connsiteY16" fmla="*/ 818028 h 10399058"/>
            <a:gd name="connsiteX17" fmla="*/ 37975 w 6890994"/>
            <a:gd name="connsiteY17" fmla="*/ 1029361 h 10399058"/>
            <a:gd name="connsiteX18" fmla="*/ 37975 w 6890994"/>
            <a:gd name="connsiteY18" fmla="*/ 2747643 h 10399058"/>
            <a:gd name="connsiteX19" fmla="*/ 249308 w 6890994"/>
            <a:gd name="connsiteY19" fmla="*/ 2958975 h 10399058"/>
            <a:gd name="connsiteX20" fmla="*/ 6561377 w 6890994"/>
            <a:gd name="connsiteY20" fmla="*/ 2958975 h 10399058"/>
            <a:gd name="connsiteX21" fmla="*/ 6772710 w 6890994"/>
            <a:gd name="connsiteY21" fmla="*/ 2747643 h 10399058"/>
            <a:gd name="connsiteX22" fmla="*/ 6772710 w 6890994"/>
            <a:gd name="connsiteY22" fmla="*/ 1029361 h 10399058"/>
            <a:gd name="connsiteX23" fmla="*/ 6561377 w 6890994"/>
            <a:gd name="connsiteY23" fmla="*/ 818028 h 10399058"/>
            <a:gd name="connsiteX24" fmla="*/ 289766 w 6890994"/>
            <a:gd name="connsiteY24" fmla="*/ 0 h 10399058"/>
            <a:gd name="connsiteX25" fmla="*/ 6601228 w 6890994"/>
            <a:gd name="connsiteY25" fmla="*/ 0 h 10399058"/>
            <a:gd name="connsiteX26" fmla="*/ 6890994 w 6890994"/>
            <a:gd name="connsiteY26" fmla="*/ 289766 h 10399058"/>
            <a:gd name="connsiteX27" fmla="*/ 6890994 w 6890994"/>
            <a:gd name="connsiteY27" fmla="*/ 10109292 h 10399058"/>
            <a:gd name="connsiteX28" fmla="*/ 6601228 w 6890994"/>
            <a:gd name="connsiteY28" fmla="*/ 10399058 h 10399058"/>
            <a:gd name="connsiteX29" fmla="*/ 289766 w 6890994"/>
            <a:gd name="connsiteY29" fmla="*/ 10399058 h 10399058"/>
            <a:gd name="connsiteX30" fmla="*/ 0 w 6890994"/>
            <a:gd name="connsiteY30" fmla="*/ 10109292 h 10399058"/>
            <a:gd name="connsiteX31" fmla="*/ 0 w 6890994"/>
            <a:gd name="connsiteY31" fmla="*/ 289766 h 10399058"/>
            <a:gd name="connsiteX32" fmla="*/ 289766 w 6890994"/>
            <a:gd name="connsiteY32" fmla="*/ 0 h 103990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6890994" h="10399058">
              <a:moveTo>
                <a:pt x="313831" y="5577398"/>
              </a:moveTo>
              <a:cubicBezTo>
                <a:pt x="166638" y="5577398"/>
                <a:pt x="47314" y="5696722"/>
                <a:pt x="47314" y="5843915"/>
              </a:cubicBezTo>
              <a:lnTo>
                <a:pt x="47314" y="8010881"/>
              </a:lnTo>
              <a:cubicBezTo>
                <a:pt x="47314" y="8158074"/>
                <a:pt x="166638" y="8277398"/>
                <a:pt x="313831" y="8277398"/>
              </a:cubicBezTo>
              <a:lnTo>
                <a:pt x="6515532" y="8277398"/>
              </a:lnTo>
              <a:cubicBezTo>
                <a:pt x="6662725" y="8277398"/>
                <a:pt x="6782049" y="8158074"/>
                <a:pt x="6782049" y="8010881"/>
              </a:cubicBezTo>
              <a:lnTo>
                <a:pt x="6782049" y="5843915"/>
              </a:lnTo>
              <a:cubicBezTo>
                <a:pt x="6782049" y="5696722"/>
                <a:pt x="6662725" y="5577398"/>
                <a:pt x="6515532" y="5577398"/>
              </a:cubicBezTo>
              <a:close/>
              <a:moveTo>
                <a:pt x="293524" y="3043649"/>
              </a:moveTo>
              <a:cubicBezTo>
                <a:pt x="158922" y="3043649"/>
                <a:pt x="49806" y="3152765"/>
                <a:pt x="49806" y="3287367"/>
              </a:cubicBezTo>
              <a:lnTo>
                <a:pt x="49806" y="5268962"/>
              </a:lnTo>
              <a:cubicBezTo>
                <a:pt x="49806" y="5403564"/>
                <a:pt x="158922" y="5512680"/>
                <a:pt x="293524" y="5512680"/>
              </a:cubicBezTo>
              <a:lnTo>
                <a:pt x="6540823" y="5512680"/>
              </a:lnTo>
              <a:cubicBezTo>
                <a:pt x="6675425" y="5512680"/>
                <a:pt x="6784541" y="5403564"/>
                <a:pt x="6784541" y="5268962"/>
              </a:cubicBezTo>
              <a:lnTo>
                <a:pt x="6784541" y="3287367"/>
              </a:lnTo>
              <a:cubicBezTo>
                <a:pt x="6784541" y="3152765"/>
                <a:pt x="6675425" y="3043649"/>
                <a:pt x="6540823" y="3043649"/>
              </a:cubicBezTo>
              <a:close/>
              <a:moveTo>
                <a:pt x="249308" y="818028"/>
              </a:moveTo>
              <a:cubicBezTo>
                <a:pt x="132592" y="818028"/>
                <a:pt x="37975" y="912644"/>
                <a:pt x="37975" y="1029361"/>
              </a:cubicBezTo>
              <a:lnTo>
                <a:pt x="37975" y="2747643"/>
              </a:lnTo>
              <a:cubicBezTo>
                <a:pt x="37975" y="2864359"/>
                <a:pt x="132592" y="2958975"/>
                <a:pt x="249308" y="2958975"/>
              </a:cubicBezTo>
              <a:lnTo>
                <a:pt x="6561377" y="2958975"/>
              </a:lnTo>
              <a:cubicBezTo>
                <a:pt x="6678093" y="2958975"/>
                <a:pt x="6772710" y="2864359"/>
                <a:pt x="6772710" y="2747643"/>
              </a:cubicBezTo>
              <a:lnTo>
                <a:pt x="6772710" y="1029361"/>
              </a:lnTo>
              <a:cubicBezTo>
                <a:pt x="6772710" y="912644"/>
                <a:pt x="6678093" y="818028"/>
                <a:pt x="6561377" y="818028"/>
              </a:cubicBezTo>
              <a:close/>
              <a:moveTo>
                <a:pt x="289766" y="0"/>
              </a:moveTo>
              <a:lnTo>
                <a:pt x="6601228" y="0"/>
              </a:lnTo>
              <a:cubicBezTo>
                <a:pt x="6761261" y="0"/>
                <a:pt x="6890994" y="129733"/>
                <a:pt x="6890994" y="289766"/>
              </a:cubicBezTo>
              <a:lnTo>
                <a:pt x="6890994" y="10109292"/>
              </a:lnTo>
              <a:cubicBezTo>
                <a:pt x="6890994" y="10269325"/>
                <a:pt x="6761261" y="10399058"/>
                <a:pt x="6601228" y="10399058"/>
              </a:cubicBezTo>
              <a:lnTo>
                <a:pt x="289766" y="10399058"/>
              </a:lnTo>
              <a:cubicBezTo>
                <a:pt x="129733" y="10399058"/>
                <a:pt x="0" y="10269325"/>
                <a:pt x="0" y="10109292"/>
              </a:cubicBezTo>
              <a:lnTo>
                <a:pt x="0" y="289766"/>
              </a:lnTo>
              <a:cubicBezTo>
                <a:pt x="0" y="129733"/>
                <a:pt x="129733" y="0"/>
                <a:pt x="289766" y="0"/>
              </a:cubicBezTo>
              <a:close/>
            </a:path>
          </a:pathLst>
        </a:cu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clientData/>
  </xdr:twoCellAnchor>
  <xdr:twoCellAnchor>
    <xdr:from>
      <xdr:col>4</xdr:col>
      <xdr:colOff>127002</xdr:colOff>
      <xdr:row>16</xdr:row>
      <xdr:rowOff>148173</xdr:rowOff>
    </xdr:from>
    <xdr:to>
      <xdr:col>11</xdr:col>
      <xdr:colOff>10585</xdr:colOff>
      <xdr:row>18</xdr:row>
      <xdr:rowOff>137585</xdr:rowOff>
    </xdr:to>
    <xdr:sp macro="" textlink="">
      <xdr:nvSpPr>
        <xdr:cNvPr id="42" name="Rectángulo: esquinas diagonales cortadas 41">
          <a:extLst>
            <a:ext uri="{FF2B5EF4-FFF2-40B4-BE49-F238E27FC236}">
              <a16:creationId xmlns:a16="http://schemas.microsoft.com/office/drawing/2014/main" id="{00000000-0008-0000-0300-00002A000000}"/>
            </a:ext>
          </a:extLst>
        </xdr:cNvPr>
        <xdr:cNvSpPr/>
      </xdr:nvSpPr>
      <xdr:spPr>
        <a:xfrm flipV="1">
          <a:off x="3175002" y="3196173"/>
          <a:ext cx="5217583" cy="370412"/>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127002</xdr:colOff>
      <xdr:row>16</xdr:row>
      <xdr:rowOff>169340</xdr:rowOff>
    </xdr:from>
    <xdr:to>
      <xdr:col>11</xdr:col>
      <xdr:colOff>455085</xdr:colOff>
      <xdr:row>18</xdr:row>
      <xdr:rowOff>137585</xdr:rowOff>
    </xdr:to>
    <xdr:sp macro="" textlink="">
      <xdr:nvSpPr>
        <xdr:cNvPr id="43" name="CuadroTexto 42">
          <a:extLst>
            <a:ext uri="{FF2B5EF4-FFF2-40B4-BE49-F238E27FC236}">
              <a16:creationId xmlns:a16="http://schemas.microsoft.com/office/drawing/2014/main" id="{00000000-0008-0000-0300-00002B000000}"/>
            </a:ext>
          </a:extLst>
        </xdr:cNvPr>
        <xdr:cNvSpPr txBox="1"/>
      </xdr:nvSpPr>
      <xdr:spPr>
        <a:xfrm>
          <a:off x="3175002" y="3217340"/>
          <a:ext cx="5662083" cy="3492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700" b="1">
              <a:solidFill>
                <a:schemeClr val="bg1"/>
              </a:solidFill>
              <a:latin typeface="PT Sans Narrow" panose="020B0506020203020204" pitchFamily="34" charset="0"/>
            </a:rPr>
            <a:t>¿CUENTAS CON NIVEL FREÁTICO</a:t>
          </a:r>
          <a:r>
            <a:rPr lang="es-CO" sz="1700" b="1" baseline="0">
              <a:solidFill>
                <a:schemeClr val="bg1"/>
              </a:solidFill>
              <a:latin typeface="PT Sans Narrow" panose="020B0506020203020204" pitchFamily="34" charset="0"/>
            </a:rPr>
            <a:t> EN TU PROYECTO?</a:t>
          </a:r>
          <a:endParaRPr lang="es-CO" sz="1700" b="1">
            <a:solidFill>
              <a:schemeClr val="bg1"/>
            </a:solidFill>
            <a:latin typeface="PT Sans Narrow" panose="020B0506020203020204" pitchFamily="34" charset="0"/>
          </a:endParaRPr>
        </a:p>
      </xdr:txBody>
    </xdr:sp>
    <xdr:clientData/>
  </xdr:twoCellAnchor>
  <xdr:twoCellAnchor>
    <xdr:from>
      <xdr:col>4</xdr:col>
      <xdr:colOff>734918</xdr:colOff>
      <xdr:row>0</xdr:row>
      <xdr:rowOff>19609</xdr:rowOff>
    </xdr:from>
    <xdr:to>
      <xdr:col>8</xdr:col>
      <xdr:colOff>392206</xdr:colOff>
      <xdr:row>3</xdr:row>
      <xdr:rowOff>142874</xdr:rowOff>
    </xdr:to>
    <xdr:sp macro="" textlink="">
      <xdr:nvSpPr>
        <xdr:cNvPr id="5" name="Marcador de texto 2">
          <a:extLst>
            <a:ext uri="{FF2B5EF4-FFF2-40B4-BE49-F238E27FC236}">
              <a16:creationId xmlns:a16="http://schemas.microsoft.com/office/drawing/2014/main" id="{00000000-0008-0000-0300-000005000000}"/>
            </a:ext>
          </a:extLst>
        </xdr:cNvPr>
        <xdr:cNvSpPr>
          <a:spLocks noGrp="1"/>
        </xdr:cNvSpPr>
      </xdr:nvSpPr>
      <xdr:spPr>
        <a:xfrm flipH="1">
          <a:off x="3782918" y="19609"/>
          <a:ext cx="2705288"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8</xdr:col>
      <xdr:colOff>380999</xdr:colOff>
      <xdr:row>0</xdr:row>
      <xdr:rowOff>19609</xdr:rowOff>
    </xdr:from>
    <xdr:to>
      <xdr:col>11</xdr:col>
      <xdr:colOff>571500</xdr:colOff>
      <xdr:row>3</xdr:row>
      <xdr:rowOff>142874</xdr:rowOff>
    </xdr:to>
    <xdr:sp macro="" textlink="">
      <xdr:nvSpPr>
        <xdr:cNvPr id="6" name="Marcador de texto 2">
          <a:extLst>
            <a:ext uri="{FF2B5EF4-FFF2-40B4-BE49-F238E27FC236}">
              <a16:creationId xmlns:a16="http://schemas.microsoft.com/office/drawing/2014/main" id="{00000000-0008-0000-0300-000006000000}"/>
            </a:ext>
          </a:extLst>
        </xdr:cNvPr>
        <xdr:cNvSpPr>
          <a:spLocks noGrp="1"/>
        </xdr:cNvSpPr>
      </xdr:nvSpPr>
      <xdr:spPr>
        <a:xfrm flipV="1">
          <a:off x="6476999" y="19609"/>
          <a:ext cx="2476501"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oneCell">
    <xdr:from>
      <xdr:col>15</xdr:col>
      <xdr:colOff>681067</xdr:colOff>
      <xdr:row>51</xdr:row>
      <xdr:rowOff>0</xdr:rowOff>
    </xdr:from>
    <xdr:to>
      <xdr:col>17</xdr:col>
      <xdr:colOff>860024</xdr:colOff>
      <xdr:row>1048576</xdr:row>
      <xdr:rowOff>25847</xdr:rowOff>
    </xdr:to>
    <xdr:pic>
      <xdr:nvPicPr>
        <xdr:cNvPr id="7" name="Imagen 6" descr="Pavco">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11067" y="8921751"/>
          <a:ext cx="1701052" cy="793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286993</xdr:colOff>
      <xdr:row>0</xdr:row>
      <xdr:rowOff>19609</xdr:rowOff>
    </xdr:from>
    <xdr:to>
      <xdr:col>14</xdr:col>
      <xdr:colOff>11516</xdr:colOff>
      <xdr:row>3</xdr:row>
      <xdr:rowOff>142874</xdr:rowOff>
    </xdr:to>
    <xdr:sp macro="" textlink="">
      <xdr:nvSpPr>
        <xdr:cNvPr id="8" name="Marcador de texto 2">
          <a:extLst>
            <a:ext uri="{FF2B5EF4-FFF2-40B4-BE49-F238E27FC236}">
              <a16:creationId xmlns:a16="http://schemas.microsoft.com/office/drawing/2014/main" id="{00000000-0008-0000-0300-000008000000}"/>
            </a:ext>
          </a:extLst>
        </xdr:cNvPr>
        <xdr:cNvSpPr>
          <a:spLocks noGrp="1"/>
        </xdr:cNvSpPr>
      </xdr:nvSpPr>
      <xdr:spPr>
        <a:xfrm>
          <a:off x="9430993" y="19609"/>
          <a:ext cx="1248523"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11</xdr:col>
      <xdr:colOff>550333</xdr:colOff>
      <xdr:row>0</xdr:row>
      <xdr:rowOff>19609</xdr:rowOff>
    </xdr:from>
    <xdr:to>
      <xdr:col>12</xdr:col>
      <xdr:colOff>287616</xdr:colOff>
      <xdr:row>3</xdr:row>
      <xdr:rowOff>142874</xdr:rowOff>
    </xdr:to>
    <xdr:sp macro="" textlink="">
      <xdr:nvSpPr>
        <xdr:cNvPr id="9" name="Marcador de texto 2">
          <a:extLst>
            <a:ext uri="{FF2B5EF4-FFF2-40B4-BE49-F238E27FC236}">
              <a16:creationId xmlns:a16="http://schemas.microsoft.com/office/drawing/2014/main" id="{00000000-0008-0000-0300-000009000000}"/>
            </a:ext>
          </a:extLst>
        </xdr:cNvPr>
        <xdr:cNvSpPr>
          <a:spLocks noGrp="1"/>
        </xdr:cNvSpPr>
      </xdr:nvSpPr>
      <xdr:spPr>
        <a:xfrm flipH="1">
          <a:off x="8932333" y="19609"/>
          <a:ext cx="499283"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126624" r="-315212"/>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4</xdr:col>
      <xdr:colOff>105832</xdr:colOff>
      <xdr:row>5</xdr:row>
      <xdr:rowOff>28573</xdr:rowOff>
    </xdr:from>
    <xdr:to>
      <xdr:col>10</xdr:col>
      <xdr:colOff>751415</xdr:colOff>
      <xdr:row>7</xdr:row>
      <xdr:rowOff>17367</xdr:rowOff>
    </xdr:to>
    <xdr:sp macro="" textlink="">
      <xdr:nvSpPr>
        <xdr:cNvPr id="11" name="Rectángulo: esquinas diagonales cortadas 10">
          <a:extLst>
            <a:ext uri="{FF2B5EF4-FFF2-40B4-BE49-F238E27FC236}">
              <a16:creationId xmlns:a16="http://schemas.microsoft.com/office/drawing/2014/main" id="{00000000-0008-0000-0300-00000B000000}"/>
            </a:ext>
          </a:extLst>
        </xdr:cNvPr>
        <xdr:cNvSpPr/>
      </xdr:nvSpPr>
      <xdr:spPr>
        <a:xfrm flipV="1">
          <a:off x="3153832" y="981073"/>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126999</xdr:colOff>
      <xdr:row>5</xdr:row>
      <xdr:rowOff>41461</xdr:rowOff>
    </xdr:from>
    <xdr:to>
      <xdr:col>11</xdr:col>
      <xdr:colOff>455082</xdr:colOff>
      <xdr:row>7</xdr:row>
      <xdr:rowOff>9524</xdr:rowOff>
    </xdr:to>
    <xdr:sp macro="" textlink="">
      <xdr:nvSpPr>
        <xdr:cNvPr id="12" name="CuadroTexto 11">
          <a:extLst>
            <a:ext uri="{FF2B5EF4-FFF2-40B4-BE49-F238E27FC236}">
              <a16:creationId xmlns:a16="http://schemas.microsoft.com/office/drawing/2014/main" id="{00000000-0008-0000-0300-00000C000000}"/>
            </a:ext>
          </a:extLst>
        </xdr:cNvPr>
        <xdr:cNvSpPr txBox="1"/>
      </xdr:nvSpPr>
      <xdr:spPr>
        <a:xfrm>
          <a:off x="3174999" y="993961"/>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700" b="1">
              <a:solidFill>
                <a:schemeClr val="bg1"/>
              </a:solidFill>
              <a:latin typeface="PT Sans Narrow" panose="020B0506020203020204" pitchFamily="34" charset="0"/>
            </a:rPr>
            <a:t>¿QUÉ USO LE DARÁS A</a:t>
          </a:r>
          <a:r>
            <a:rPr lang="es-CO" sz="1700" b="1" baseline="0">
              <a:solidFill>
                <a:schemeClr val="bg1"/>
              </a:solidFill>
              <a:latin typeface="PT Sans Narrow" panose="020B0506020203020204" pitchFamily="34" charset="0"/>
            </a:rPr>
            <a:t> LAS CELDAS AQUACELL?</a:t>
          </a:r>
          <a:endParaRPr lang="es-CO" sz="1700" b="1">
            <a:solidFill>
              <a:schemeClr val="bg1"/>
            </a:solidFill>
            <a:latin typeface="PT Sans Narrow" panose="020B0506020203020204" pitchFamily="34" charset="0"/>
          </a:endParaRPr>
        </a:p>
      </xdr:txBody>
    </xdr:sp>
    <xdr:clientData/>
  </xdr:twoCellAnchor>
  <xdr:twoCellAnchor>
    <xdr:from>
      <xdr:col>5</xdr:col>
      <xdr:colOff>74083</xdr:colOff>
      <xdr:row>7</xdr:row>
      <xdr:rowOff>63501</xdr:rowOff>
    </xdr:from>
    <xdr:to>
      <xdr:col>12</xdr:col>
      <xdr:colOff>698499</xdr:colOff>
      <xdr:row>15</xdr:row>
      <xdr:rowOff>52917</xdr:rowOff>
    </xdr:to>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3884083" y="1397001"/>
          <a:ext cx="5958416" cy="1513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chemeClr val="bg1"/>
              </a:solidFill>
              <a:latin typeface="PT Sans Narrow" panose="020B0506020203020204" pitchFamily="34" charset="0"/>
            </a:rPr>
            <a:t>ESPECIFICA EL</a:t>
          </a:r>
          <a:r>
            <a:rPr lang="es-CO" sz="1400" b="1" baseline="0">
              <a:solidFill>
                <a:schemeClr val="bg1"/>
              </a:solidFill>
              <a:latin typeface="PT Sans Narrow" panose="020B0506020203020204" pitchFamily="34" charset="0"/>
            </a:rPr>
            <a:t> USO QUE TENDRÁN ESTAS CELDAS AQUACELL (MARCA UNA SOLA OPCIÓN) DENTRO DE ESTOS USOS TENEMOS:</a:t>
          </a:r>
        </a:p>
        <a:p>
          <a:endParaRPr lang="es-CO" sz="1400" b="1" baseline="0">
            <a:solidFill>
              <a:schemeClr val="bg1"/>
            </a:solidFill>
            <a:latin typeface="PT Sans Narrow" panose="020B0506020203020204" pitchFamily="34" charset="0"/>
          </a:endParaRPr>
        </a:p>
        <a:p>
          <a:pPr lvl="1"/>
          <a:r>
            <a:rPr lang="es-CO" sz="1400" b="1" baseline="0">
              <a:solidFill>
                <a:schemeClr val="bg1"/>
              </a:solidFill>
              <a:latin typeface="PT Sans Narrow" panose="020B0506020203020204" pitchFamily="34" charset="0"/>
            </a:rPr>
            <a:t>AMORTIGUACIÓN DE TORMENTAS DE AGUAS LLUVIAS O ALMACENAMIENTO Y APROVECHAMIENTO DE AGUAS LLUVIAS.</a:t>
          </a:r>
        </a:p>
        <a:p>
          <a:pPr lvl="1"/>
          <a:r>
            <a:rPr lang="es-CO" sz="1400" b="1" baseline="0">
              <a:solidFill>
                <a:schemeClr val="bg1"/>
              </a:solidFill>
              <a:latin typeface="PT Sans Narrow" panose="020B0506020203020204" pitchFamily="34" charset="0"/>
            </a:rPr>
            <a:t>INFILTRACIÓN DE AGUAS LLUVIAS CAPTADAS.</a:t>
          </a:r>
          <a:endParaRPr lang="es-CO" sz="1400" b="1">
            <a:solidFill>
              <a:schemeClr val="bg1"/>
            </a:solidFill>
            <a:latin typeface="PT Sans Narrow" panose="020B0506020203020204" pitchFamily="34" charset="0"/>
          </a:endParaRPr>
        </a:p>
      </xdr:txBody>
    </xdr:sp>
    <xdr:clientData/>
  </xdr:twoCellAnchor>
  <xdr:twoCellAnchor>
    <xdr:from>
      <xdr:col>4</xdr:col>
      <xdr:colOff>730250</xdr:colOff>
      <xdr:row>50</xdr:row>
      <xdr:rowOff>174393</xdr:rowOff>
    </xdr:from>
    <xdr:to>
      <xdr:col>8</xdr:col>
      <xdr:colOff>387538</xdr:colOff>
      <xdr:row>54</xdr:row>
      <xdr:rowOff>107158</xdr:rowOff>
    </xdr:to>
    <xdr:sp macro="" textlink="">
      <xdr:nvSpPr>
        <xdr:cNvPr id="27" name="Marcador de texto 2">
          <a:extLst>
            <a:ext uri="{FF2B5EF4-FFF2-40B4-BE49-F238E27FC236}">
              <a16:creationId xmlns:a16="http://schemas.microsoft.com/office/drawing/2014/main" id="{00000000-0008-0000-0300-00001B000000}"/>
            </a:ext>
          </a:extLst>
        </xdr:cNvPr>
        <xdr:cNvSpPr>
          <a:spLocks noGrp="1"/>
        </xdr:cNvSpPr>
      </xdr:nvSpPr>
      <xdr:spPr>
        <a:xfrm flipH="1" flipV="1">
          <a:off x="3778250" y="9699393"/>
          <a:ext cx="2705288"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8</xdr:col>
      <xdr:colOff>376331</xdr:colOff>
      <xdr:row>50</xdr:row>
      <xdr:rowOff>174393</xdr:rowOff>
    </xdr:from>
    <xdr:to>
      <xdr:col>11</xdr:col>
      <xdr:colOff>566832</xdr:colOff>
      <xdr:row>54</xdr:row>
      <xdr:rowOff>107158</xdr:rowOff>
    </xdr:to>
    <xdr:sp macro="" textlink="">
      <xdr:nvSpPr>
        <xdr:cNvPr id="28" name="Marcador de texto 2">
          <a:extLst>
            <a:ext uri="{FF2B5EF4-FFF2-40B4-BE49-F238E27FC236}">
              <a16:creationId xmlns:a16="http://schemas.microsoft.com/office/drawing/2014/main" id="{00000000-0008-0000-0300-00001C000000}"/>
            </a:ext>
          </a:extLst>
        </xdr:cNvPr>
        <xdr:cNvSpPr>
          <a:spLocks noGrp="1"/>
        </xdr:cNvSpPr>
      </xdr:nvSpPr>
      <xdr:spPr>
        <a:xfrm>
          <a:off x="6472331" y="9699393"/>
          <a:ext cx="2476501"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12</xdr:col>
      <xdr:colOff>282325</xdr:colOff>
      <xdr:row>50</xdr:row>
      <xdr:rowOff>174393</xdr:rowOff>
    </xdr:from>
    <xdr:to>
      <xdr:col>14</xdr:col>
      <xdr:colOff>6848</xdr:colOff>
      <xdr:row>54</xdr:row>
      <xdr:rowOff>107158</xdr:rowOff>
    </xdr:to>
    <xdr:sp macro="" textlink="">
      <xdr:nvSpPr>
        <xdr:cNvPr id="29" name="Marcador de texto 2">
          <a:extLst>
            <a:ext uri="{FF2B5EF4-FFF2-40B4-BE49-F238E27FC236}">
              <a16:creationId xmlns:a16="http://schemas.microsoft.com/office/drawing/2014/main" id="{00000000-0008-0000-0300-00001D000000}"/>
            </a:ext>
          </a:extLst>
        </xdr:cNvPr>
        <xdr:cNvSpPr>
          <a:spLocks noGrp="1"/>
        </xdr:cNvSpPr>
      </xdr:nvSpPr>
      <xdr:spPr>
        <a:xfrm flipV="1">
          <a:off x="9426325" y="9699393"/>
          <a:ext cx="1248523"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11</xdr:col>
      <xdr:colOff>391582</xdr:colOff>
      <xdr:row>50</xdr:row>
      <xdr:rowOff>174393</xdr:rowOff>
    </xdr:from>
    <xdr:to>
      <xdr:col>12</xdr:col>
      <xdr:colOff>296329</xdr:colOff>
      <xdr:row>54</xdr:row>
      <xdr:rowOff>107158</xdr:rowOff>
    </xdr:to>
    <xdr:sp macro="" textlink="">
      <xdr:nvSpPr>
        <xdr:cNvPr id="30" name="Marcador de texto 2">
          <a:extLst>
            <a:ext uri="{FF2B5EF4-FFF2-40B4-BE49-F238E27FC236}">
              <a16:creationId xmlns:a16="http://schemas.microsoft.com/office/drawing/2014/main" id="{00000000-0008-0000-0300-00001E000000}"/>
            </a:ext>
          </a:extLst>
        </xdr:cNvPr>
        <xdr:cNvSpPr>
          <a:spLocks noGrp="1"/>
        </xdr:cNvSpPr>
      </xdr:nvSpPr>
      <xdr:spPr>
        <a:xfrm flipH="1" flipV="1">
          <a:off x="8773582" y="9699393"/>
          <a:ext cx="666747"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94401" r="-211345"/>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xdr:from>
      <xdr:col>0</xdr:col>
      <xdr:colOff>0</xdr:colOff>
      <xdr:row>32</xdr:row>
      <xdr:rowOff>105844</xdr:rowOff>
    </xdr:from>
    <xdr:to>
      <xdr:col>4</xdr:col>
      <xdr:colOff>285750</xdr:colOff>
      <xdr:row>53</xdr:row>
      <xdr:rowOff>544</xdr:rowOff>
    </xdr:to>
    <xdr:sp macro="" textlink="">
      <xdr:nvSpPr>
        <xdr:cNvPr id="31" name="CuadroTexto 30">
          <a:extLst>
            <a:ext uri="{FF2B5EF4-FFF2-40B4-BE49-F238E27FC236}">
              <a16:creationId xmlns:a16="http://schemas.microsoft.com/office/drawing/2014/main" id="{00000000-0008-0000-0300-00001F000000}"/>
            </a:ext>
          </a:extLst>
        </xdr:cNvPr>
        <xdr:cNvSpPr txBox="1"/>
      </xdr:nvSpPr>
      <xdr:spPr>
        <a:xfrm>
          <a:off x="0" y="6201844"/>
          <a:ext cx="3333750" cy="389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i="0">
              <a:solidFill>
                <a:schemeClr val="bg1"/>
              </a:solidFill>
              <a:effectLst/>
              <a:latin typeface="PT Sans Narrow" panose="020B0506020203020204" pitchFamily="34" charset="0"/>
              <a:ea typeface="+mn-ea"/>
              <a:cs typeface="+mn-cs"/>
            </a:rPr>
            <a:t>Bogotá: Autopista Sur # 71-75.</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(601) 782 5000 Ext.:1101 Fax: +57 (601) 782 5020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Cali: Calle 64 Norte 5BN 46. Oficina R01, Centro Empresa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(602) 829 8969 EXT 2809</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Bucaramanga: Calle 30 # 22-129 Oficina 1802, Floridablanca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+57 314 330 2331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Barranquilla: Conmutador: +57 (605) 375 8100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0041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Itagüí - Antioquia: Calle 27 # 41-80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(604) 325 6660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Eje Cafetero: Carrera 17 # 5-58 Oficina 304 , Pereira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0025</a:t>
          </a:r>
          <a:endParaRPr lang="es-CO" sz="1200" b="1">
            <a:solidFill>
              <a:schemeClr val="bg1"/>
            </a:solidFill>
            <a:latin typeface="PT Sans Narrow" panose="020B0506020203020204" pitchFamily="34" charset="0"/>
          </a:endParaRPr>
        </a:p>
      </xdr:txBody>
    </xdr:sp>
    <xdr:clientData/>
  </xdr:twoCellAnchor>
  <xdr:twoCellAnchor>
    <xdr:from>
      <xdr:col>4</xdr:col>
      <xdr:colOff>115171</xdr:colOff>
      <xdr:row>30</xdr:row>
      <xdr:rowOff>25444</xdr:rowOff>
    </xdr:from>
    <xdr:to>
      <xdr:col>10</xdr:col>
      <xdr:colOff>760754</xdr:colOff>
      <xdr:row>32</xdr:row>
      <xdr:rowOff>10575</xdr:rowOff>
    </xdr:to>
    <xdr:sp macro="" textlink="">
      <xdr:nvSpPr>
        <xdr:cNvPr id="36" name="Rectángulo: esquinas diagonales cortadas 35">
          <a:extLst>
            <a:ext uri="{FF2B5EF4-FFF2-40B4-BE49-F238E27FC236}">
              <a16:creationId xmlns:a16="http://schemas.microsoft.com/office/drawing/2014/main" id="{00000000-0008-0000-0300-000024000000}"/>
            </a:ext>
          </a:extLst>
        </xdr:cNvPr>
        <xdr:cNvSpPr/>
      </xdr:nvSpPr>
      <xdr:spPr>
        <a:xfrm flipV="1">
          <a:off x="3163171" y="5740444"/>
          <a:ext cx="5217583" cy="366131"/>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136338</xdr:colOff>
      <xdr:row>30</xdr:row>
      <xdr:rowOff>31742</xdr:rowOff>
    </xdr:from>
    <xdr:to>
      <xdr:col>11</xdr:col>
      <xdr:colOff>464421</xdr:colOff>
      <xdr:row>31</xdr:row>
      <xdr:rowOff>190492</xdr:rowOff>
    </xdr:to>
    <xdr:sp macro="" textlink="">
      <xdr:nvSpPr>
        <xdr:cNvPr id="37" name="CuadroTexto 36">
          <a:extLst>
            <a:ext uri="{FF2B5EF4-FFF2-40B4-BE49-F238E27FC236}">
              <a16:creationId xmlns:a16="http://schemas.microsoft.com/office/drawing/2014/main" id="{00000000-0008-0000-0300-000025000000}"/>
            </a:ext>
          </a:extLst>
        </xdr:cNvPr>
        <xdr:cNvSpPr txBox="1"/>
      </xdr:nvSpPr>
      <xdr:spPr>
        <a:xfrm>
          <a:off x="3184338" y="5746742"/>
          <a:ext cx="5662083" cy="34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700" b="1">
              <a:solidFill>
                <a:schemeClr val="bg1"/>
              </a:solidFill>
              <a:latin typeface="PT Sans Narrow" panose="020B0506020203020204" pitchFamily="34" charset="0"/>
            </a:rPr>
            <a:t>POR ÚLTIMO</a:t>
          </a:r>
          <a:r>
            <a:rPr lang="es-CO" sz="1700" b="1" baseline="0">
              <a:solidFill>
                <a:schemeClr val="bg1"/>
              </a:solidFill>
              <a:latin typeface="PT Sans Narrow" panose="020B0506020203020204" pitchFamily="34" charset="0"/>
            </a:rPr>
            <a:t> </a:t>
          </a:r>
          <a:r>
            <a:rPr lang="es-CO" sz="1700" b="1">
              <a:solidFill>
                <a:schemeClr val="bg1"/>
              </a:solidFill>
              <a:latin typeface="PT Sans Narrow" panose="020B0506020203020204" pitchFamily="34" charset="0"/>
            </a:rPr>
            <a:t>¿CONOCES EL VOLUMEN DEL TANQUE</a:t>
          </a:r>
          <a:r>
            <a:rPr lang="es-CO" sz="1700" b="1" baseline="0">
              <a:solidFill>
                <a:schemeClr val="bg1"/>
              </a:solidFill>
              <a:latin typeface="PT Sans Narrow" panose="020B0506020203020204" pitchFamily="34" charset="0"/>
            </a:rPr>
            <a:t>?</a:t>
          </a:r>
          <a:endParaRPr lang="es-CO" sz="1700" b="1">
            <a:solidFill>
              <a:schemeClr val="bg1"/>
            </a:solidFill>
            <a:latin typeface="PT Sans Narrow" panose="020B0506020203020204" pitchFamily="34" charset="0"/>
          </a:endParaRPr>
        </a:p>
      </xdr:txBody>
    </xdr:sp>
    <xdr:clientData/>
  </xdr:twoCellAnchor>
  <xdr:twoCellAnchor>
    <xdr:from>
      <xdr:col>5</xdr:col>
      <xdr:colOff>189255</xdr:colOff>
      <xdr:row>32</xdr:row>
      <xdr:rowOff>188959</xdr:rowOff>
    </xdr:from>
    <xdr:to>
      <xdr:col>13</xdr:col>
      <xdr:colOff>51671</xdr:colOff>
      <xdr:row>36</xdr:row>
      <xdr:rowOff>18520</xdr:rowOff>
    </xdr:to>
    <xdr:sp macro="" textlink="">
      <xdr:nvSpPr>
        <xdr:cNvPr id="38" name="CuadroTexto 37">
          <a:extLst>
            <a:ext uri="{FF2B5EF4-FFF2-40B4-BE49-F238E27FC236}">
              <a16:creationId xmlns:a16="http://schemas.microsoft.com/office/drawing/2014/main" id="{00000000-0008-0000-0300-000026000000}"/>
            </a:ext>
          </a:extLst>
        </xdr:cNvPr>
        <xdr:cNvSpPr txBox="1"/>
      </xdr:nvSpPr>
      <xdr:spPr>
        <a:xfrm>
          <a:off x="3999255" y="6284959"/>
          <a:ext cx="5958416" cy="591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chemeClr val="bg1"/>
              </a:solidFill>
              <a:latin typeface="PT Sans Narrow" panose="020B0506020203020204" pitchFamily="34" charset="0"/>
            </a:rPr>
            <a:t>EN CASO</a:t>
          </a:r>
          <a:r>
            <a:rPr lang="es-CO" sz="1400" b="1" baseline="0">
              <a:solidFill>
                <a:schemeClr val="bg1"/>
              </a:solidFill>
              <a:latin typeface="PT Sans Narrow" panose="020B0506020203020204" pitchFamily="34" charset="0"/>
            </a:rPr>
            <a:t> DE TENER UN VOLUMEN YA DETERMINADO PARA EL TANQUE AQUACELL DEBERÁS INGRESARLO JUNTO CON SUS UNIDADES (LTS O M³).</a:t>
          </a:r>
          <a:endParaRPr lang="es-CO" sz="1400" b="1">
            <a:solidFill>
              <a:schemeClr val="bg1"/>
            </a:solidFill>
            <a:latin typeface="PT Sans Narrow" panose="020B0506020203020204" pitchFamily="34" charset="0"/>
          </a:endParaRPr>
        </a:p>
      </xdr:txBody>
    </xdr:sp>
    <xdr:clientData/>
  </xdr:twoCellAnchor>
  <xdr:twoCellAnchor>
    <xdr:from>
      <xdr:col>9</xdr:col>
      <xdr:colOff>582094</xdr:colOff>
      <xdr:row>46</xdr:row>
      <xdr:rowOff>0</xdr:rowOff>
    </xdr:from>
    <xdr:to>
      <xdr:col>11</xdr:col>
      <xdr:colOff>624428</xdr:colOff>
      <xdr:row>49</xdr:row>
      <xdr:rowOff>31746</xdr:rowOff>
    </xdr:to>
    <xdr:grpSp>
      <xdr:nvGrpSpPr>
        <xdr:cNvPr id="44" name="SIGUIENTE">
          <a:extLst>
            <a:ext uri="{FF2B5EF4-FFF2-40B4-BE49-F238E27FC236}">
              <a16:creationId xmlns:a16="http://schemas.microsoft.com/office/drawing/2014/main" id="{00000000-0008-0000-0300-00002C000000}"/>
            </a:ext>
          </a:extLst>
        </xdr:cNvPr>
        <xdr:cNvGrpSpPr/>
      </xdr:nvGrpSpPr>
      <xdr:grpSpPr>
        <a:xfrm>
          <a:off x="7440094" y="8763000"/>
          <a:ext cx="1566334" cy="603246"/>
          <a:chOff x="7567088" y="3190875"/>
          <a:chExt cx="1566334" cy="603246"/>
        </a:xfrm>
      </xdr:grpSpPr>
      <xdr:sp macro="[0]!Comprobaciones" textlink="">
        <xdr:nvSpPr>
          <xdr:cNvPr id="45" name="Octágono 44">
            <a:extLst>
              <a:ext uri="{FF2B5EF4-FFF2-40B4-BE49-F238E27FC236}">
                <a16:creationId xmlns:a16="http://schemas.microsoft.com/office/drawing/2014/main" id="{00000000-0008-0000-0300-00002D000000}"/>
              </a:ext>
            </a:extLst>
          </xdr:cNvPr>
          <xdr:cNvSpPr/>
        </xdr:nvSpPr>
        <xdr:spPr>
          <a:xfrm>
            <a:off x="7567088" y="3190875"/>
            <a:ext cx="1566334" cy="603246"/>
          </a:xfrm>
          <a:prstGeom prst="octagon">
            <a:avLst>
              <a:gd name="adj" fmla="val 1314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Comprobaciones" textlink="">
        <xdr:nvSpPr>
          <xdr:cNvPr id="46" name="CuadroTexto 45">
            <a:extLst>
              <a:ext uri="{FF2B5EF4-FFF2-40B4-BE49-F238E27FC236}">
                <a16:creationId xmlns:a16="http://schemas.microsoft.com/office/drawing/2014/main" id="{00000000-0008-0000-0300-00002E000000}"/>
              </a:ext>
            </a:extLst>
          </xdr:cNvPr>
          <xdr:cNvSpPr txBox="1"/>
        </xdr:nvSpPr>
        <xdr:spPr>
          <a:xfrm>
            <a:off x="8043338" y="3301470"/>
            <a:ext cx="1090084" cy="331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700" b="1">
                <a:solidFill>
                  <a:schemeClr val="bg1"/>
                </a:solidFill>
                <a:latin typeface="PT Sans Narrow" panose="020B0506020203020204" pitchFamily="34" charset="0"/>
              </a:rPr>
              <a:t>SIGUIENTE</a:t>
            </a:r>
          </a:p>
        </xdr:txBody>
      </xdr:sp>
      <xdr:pic macro="[0]!Comprobaciones">
        <xdr:nvPicPr>
          <xdr:cNvPr id="47" name="Imagen 46">
            <a:extLst>
              <a:ext uri="{FF2B5EF4-FFF2-40B4-BE49-F238E27FC236}">
                <a16:creationId xmlns:a16="http://schemas.microsoft.com/office/drawing/2014/main" id="{00000000-0008-0000-03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51754" y="3286123"/>
            <a:ext cx="423883" cy="414000"/>
          </a:xfrm>
          <a:prstGeom prst="rect">
            <a:avLst/>
          </a:prstGeom>
        </xdr:spPr>
      </xdr:pic>
    </xdr:grpSp>
    <xdr:clientData/>
  </xdr:twoCellAnchor>
  <xdr:twoCellAnchor>
    <xdr:from>
      <xdr:col>7</xdr:col>
      <xdr:colOff>148159</xdr:colOff>
      <xdr:row>46</xdr:row>
      <xdr:rowOff>52915</xdr:rowOff>
    </xdr:from>
    <xdr:to>
      <xdr:col>9</xdr:col>
      <xdr:colOff>105818</xdr:colOff>
      <xdr:row>48</xdr:row>
      <xdr:rowOff>169332</xdr:rowOff>
    </xdr:to>
    <xdr:grpSp>
      <xdr:nvGrpSpPr>
        <xdr:cNvPr id="48" name="ATRAS">
          <a:extLst>
            <a:ext uri="{FF2B5EF4-FFF2-40B4-BE49-F238E27FC236}">
              <a16:creationId xmlns:a16="http://schemas.microsoft.com/office/drawing/2014/main" id="{00000000-0008-0000-0300-000030000000}"/>
            </a:ext>
          </a:extLst>
        </xdr:cNvPr>
        <xdr:cNvGrpSpPr/>
      </xdr:nvGrpSpPr>
      <xdr:grpSpPr>
        <a:xfrm>
          <a:off x="5482159" y="8815915"/>
          <a:ext cx="1481659" cy="497417"/>
          <a:chOff x="5609153" y="3243790"/>
          <a:chExt cx="1481659" cy="497417"/>
        </a:xfrm>
      </xdr:grpSpPr>
      <xdr:sp macro="[0]!DI" textlink="">
        <xdr:nvSpPr>
          <xdr:cNvPr id="49" name="Octágono 48">
            <a:extLst>
              <a:ext uri="{FF2B5EF4-FFF2-40B4-BE49-F238E27FC236}">
                <a16:creationId xmlns:a16="http://schemas.microsoft.com/office/drawing/2014/main" id="{00000000-0008-0000-0300-000031000000}"/>
              </a:ext>
            </a:extLst>
          </xdr:cNvPr>
          <xdr:cNvSpPr/>
        </xdr:nvSpPr>
        <xdr:spPr>
          <a:xfrm>
            <a:off x="5609153" y="3243790"/>
            <a:ext cx="1354662" cy="497417"/>
          </a:xfrm>
          <a:prstGeom prst="octagon">
            <a:avLst>
              <a:gd name="adj" fmla="val 1314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DI" textlink="">
        <xdr:nvSpPr>
          <xdr:cNvPr id="50" name="CuadroTexto 49">
            <a:extLst>
              <a:ext uri="{FF2B5EF4-FFF2-40B4-BE49-F238E27FC236}">
                <a16:creationId xmlns:a16="http://schemas.microsoft.com/office/drawing/2014/main" id="{00000000-0008-0000-0300-000032000000}"/>
              </a:ext>
            </a:extLst>
          </xdr:cNvPr>
          <xdr:cNvSpPr txBox="1"/>
        </xdr:nvSpPr>
        <xdr:spPr>
          <a:xfrm>
            <a:off x="6148040" y="3292651"/>
            <a:ext cx="942772" cy="2734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700" b="1">
                <a:solidFill>
                  <a:schemeClr val="bg1"/>
                </a:solidFill>
                <a:latin typeface="PT Sans Narrow" panose="020B0506020203020204" pitchFamily="34" charset="0"/>
              </a:rPr>
              <a:t>ATRÁS</a:t>
            </a:r>
          </a:p>
        </xdr:txBody>
      </xdr:sp>
      <xdr:pic macro="[0]!DI">
        <xdr:nvPicPr>
          <xdr:cNvPr id="51" name="Imagen 50">
            <a:extLst>
              <a:ext uri="{FF2B5EF4-FFF2-40B4-BE49-F238E27FC236}">
                <a16:creationId xmlns:a16="http://schemas.microsoft.com/office/drawing/2014/main" id="{00000000-0008-0000-0300-00003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flipH="1">
            <a:off x="5693817" y="3286122"/>
            <a:ext cx="423883" cy="414000"/>
          </a:xfrm>
          <a:prstGeom prst="rect">
            <a:avLst/>
          </a:prstGeom>
        </xdr:spPr>
      </xdr:pic>
    </xdr:grpSp>
    <xdr:clientData/>
  </xdr:twoCellAnchor>
  <xdr:twoCellAnchor>
    <xdr:from>
      <xdr:col>5</xdr:col>
      <xdr:colOff>27395</xdr:colOff>
      <xdr:row>19</xdr:row>
      <xdr:rowOff>21175</xdr:rowOff>
    </xdr:from>
    <xdr:to>
      <xdr:col>13</xdr:col>
      <xdr:colOff>486833</xdr:colOff>
      <xdr:row>20</xdr:row>
      <xdr:rowOff>158751</xdr:rowOff>
    </xdr:to>
    <xdr:sp macro="" textlink="">
      <xdr:nvSpPr>
        <xdr:cNvPr id="52" name="CuadroTexto 51">
          <a:extLst>
            <a:ext uri="{FF2B5EF4-FFF2-40B4-BE49-F238E27FC236}">
              <a16:creationId xmlns:a16="http://schemas.microsoft.com/office/drawing/2014/main" id="{00000000-0008-0000-0300-000034000000}"/>
            </a:ext>
          </a:extLst>
        </xdr:cNvPr>
        <xdr:cNvSpPr txBox="1"/>
      </xdr:nvSpPr>
      <xdr:spPr>
        <a:xfrm>
          <a:off x="3837395" y="3640675"/>
          <a:ext cx="6555438" cy="328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chemeClr val="bg1"/>
              </a:solidFill>
              <a:latin typeface="PT Sans Narrow" panose="020B0506020203020204" pitchFamily="34" charset="0"/>
            </a:rPr>
            <a:t>EN CASO DE TENER NIVEL</a:t>
          </a:r>
          <a:r>
            <a:rPr lang="es-CO" sz="1400" b="1" baseline="0">
              <a:solidFill>
                <a:schemeClr val="bg1"/>
              </a:solidFill>
              <a:latin typeface="PT Sans Narrow" panose="020B0506020203020204" pitchFamily="34" charset="0"/>
            </a:rPr>
            <a:t> FREÁTICO EN EL PROYECTO, DEBES INDICAR A QUE PROFUNDIDAD ESTÁ. ESTA CELDA TAMBIÉN PUEDE IR VACÍA.</a:t>
          </a:r>
        </a:p>
        <a:p>
          <a:endParaRPr lang="es-CO" sz="1400" b="1" baseline="0">
            <a:solidFill>
              <a:schemeClr val="bg1"/>
            </a:solidFill>
            <a:latin typeface="PT Sans Narrow" panose="020B05060202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276225</xdr:colOff>
          <xdr:row>11</xdr:row>
          <xdr:rowOff>9525</xdr:rowOff>
        </xdr:from>
        <xdr:to>
          <xdr:col>5</xdr:col>
          <xdr:colOff>533400</xdr:colOff>
          <xdr:row>12</xdr:row>
          <xdr:rowOff>76200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3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13</xdr:row>
          <xdr:rowOff>85725</xdr:rowOff>
        </xdr:from>
        <xdr:to>
          <xdr:col>5</xdr:col>
          <xdr:colOff>523875</xdr:colOff>
          <xdr:row>14</xdr:row>
          <xdr:rowOff>152400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3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189255</xdr:colOff>
      <xdr:row>38</xdr:row>
      <xdr:rowOff>34394</xdr:rowOff>
    </xdr:from>
    <xdr:to>
      <xdr:col>13</xdr:col>
      <xdr:colOff>51671</xdr:colOff>
      <xdr:row>43</xdr:row>
      <xdr:rowOff>130970</xdr:rowOff>
    </xdr:to>
    <xdr:sp macro="" textlink="">
      <xdr:nvSpPr>
        <xdr:cNvPr id="66" name="CuadroTexto 65">
          <a:extLst>
            <a:ext uri="{FF2B5EF4-FFF2-40B4-BE49-F238E27FC236}">
              <a16:creationId xmlns:a16="http://schemas.microsoft.com/office/drawing/2014/main" id="{00000000-0008-0000-0300-000042000000}"/>
            </a:ext>
          </a:extLst>
        </xdr:cNvPr>
        <xdr:cNvSpPr txBox="1"/>
      </xdr:nvSpPr>
      <xdr:spPr>
        <a:xfrm>
          <a:off x="3999255" y="7273394"/>
          <a:ext cx="5958416" cy="1049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baseline="0">
              <a:solidFill>
                <a:schemeClr val="bg1"/>
              </a:solidFill>
              <a:latin typeface="PT Sans Narrow" panose="020B0506020203020204" pitchFamily="34" charset="0"/>
            </a:rPr>
            <a:t>EN CASO DE NO CONOCER EL VOLUMEN, PAVCO WAVIN CUENTA CON UNA METODOLOGÍA PARA ESTIMAR EL VOLUMEN, A PARTIR DE DATOS BÁSICOS HIDROLÓGICOS DE LA ZONA. SIN EMBARGO, ESTA METODOLOGÍA NO PUEDE SER APLICABLE EN TODOS LOS CASOS POR LO QUE ES RECOMENDABLE SIEMPRE REVISAR LA NORMATIVIDAD LOCAL VIGENTE.</a:t>
          </a:r>
          <a:endParaRPr lang="es-CO" sz="1400" b="1">
            <a:solidFill>
              <a:schemeClr val="bg1"/>
            </a:solidFill>
            <a:latin typeface="PT Sans Narrow" panose="020B0506020203020204" pitchFamily="34" charset="0"/>
          </a:endParaRPr>
        </a:p>
      </xdr:txBody>
    </xdr:sp>
    <xdr:clientData/>
  </xdr:twoCellAnchor>
  <xdr:twoCellAnchor editAs="oneCell">
    <xdr:from>
      <xdr:col>2</xdr:col>
      <xdr:colOff>148172</xdr:colOff>
      <xdr:row>52</xdr:row>
      <xdr:rowOff>179920</xdr:rowOff>
    </xdr:from>
    <xdr:to>
      <xdr:col>2</xdr:col>
      <xdr:colOff>507352</xdr:colOff>
      <xdr:row>54</xdr:row>
      <xdr:rowOff>149395</xdr:rowOff>
    </xdr:to>
    <xdr:pic>
      <xdr:nvPicPr>
        <xdr:cNvPr id="39" name="Imagen 38">
          <a:hlinkClick xmlns:r="http://schemas.openxmlformats.org/officeDocument/2006/relationships" r:id="rId4"/>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72172" y="10085920"/>
          <a:ext cx="351560" cy="350475"/>
        </a:xfrm>
        <a:prstGeom prst="rect">
          <a:avLst/>
        </a:prstGeom>
      </xdr:spPr>
    </xdr:pic>
    <xdr:clientData/>
  </xdr:twoCellAnchor>
  <xdr:twoCellAnchor editAs="oneCell">
    <xdr:from>
      <xdr:col>0</xdr:col>
      <xdr:colOff>412754</xdr:colOff>
      <xdr:row>52</xdr:row>
      <xdr:rowOff>179920</xdr:rowOff>
    </xdr:from>
    <xdr:to>
      <xdr:col>1</xdr:col>
      <xdr:colOff>1405</xdr:colOff>
      <xdr:row>54</xdr:row>
      <xdr:rowOff>149395</xdr:rowOff>
    </xdr:to>
    <xdr:pic>
      <xdr:nvPicPr>
        <xdr:cNvPr id="40" name="Imagen 39">
          <a:hlinkClick xmlns:r="http://schemas.openxmlformats.org/officeDocument/2006/relationships" r:id="rId6"/>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2754" y="10085920"/>
          <a:ext cx="350651" cy="350475"/>
        </a:xfrm>
        <a:prstGeom prst="rect">
          <a:avLst/>
        </a:prstGeom>
      </xdr:spPr>
    </xdr:pic>
    <xdr:clientData/>
  </xdr:twoCellAnchor>
  <xdr:twoCellAnchor editAs="oneCell">
    <xdr:from>
      <xdr:col>1</xdr:col>
      <xdr:colOff>253104</xdr:colOff>
      <xdr:row>53</xdr:row>
      <xdr:rowOff>63501</xdr:rowOff>
    </xdr:from>
    <xdr:to>
      <xdr:col>1</xdr:col>
      <xdr:colOff>664189</xdr:colOff>
      <xdr:row>54</xdr:row>
      <xdr:rowOff>187281</xdr:rowOff>
    </xdr:to>
    <xdr:pic>
      <xdr:nvPicPr>
        <xdr:cNvPr id="41" name="Imagen 40">
          <a:hlinkClick xmlns:r="http://schemas.openxmlformats.org/officeDocument/2006/relationships" r:id="rId8"/>
          <a:extLst>
            <a:ext uri="{FF2B5EF4-FFF2-40B4-BE49-F238E27FC236}">
              <a16:creationId xmlns:a16="http://schemas.microsoft.com/office/drawing/2014/main" id="{00000000-0008-0000-0300-00002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15104" y="10160001"/>
          <a:ext cx="405370" cy="312375"/>
        </a:xfrm>
        <a:prstGeom prst="rect">
          <a:avLst/>
        </a:prstGeom>
      </xdr:spPr>
    </xdr:pic>
    <xdr:clientData/>
  </xdr:twoCellAnchor>
  <xdr:twoCellAnchor>
    <xdr:from>
      <xdr:col>5</xdr:col>
      <xdr:colOff>21045</xdr:colOff>
      <xdr:row>22</xdr:row>
      <xdr:rowOff>84665</xdr:rowOff>
    </xdr:from>
    <xdr:to>
      <xdr:col>13</xdr:col>
      <xdr:colOff>656167</xdr:colOff>
      <xdr:row>29</xdr:row>
      <xdr:rowOff>148165</xdr:rowOff>
    </xdr:to>
    <xdr:sp macro="" textlink="">
      <xdr:nvSpPr>
        <xdr:cNvPr id="53" name="CuadroTexto 52">
          <a:extLst>
            <a:ext uri="{FF2B5EF4-FFF2-40B4-BE49-F238E27FC236}">
              <a16:creationId xmlns:a16="http://schemas.microsoft.com/office/drawing/2014/main" id="{00000000-0008-0000-0300-000035000000}"/>
            </a:ext>
          </a:extLst>
        </xdr:cNvPr>
        <xdr:cNvSpPr txBox="1"/>
      </xdr:nvSpPr>
      <xdr:spPr>
        <a:xfrm>
          <a:off x="3831045" y="4275665"/>
          <a:ext cx="6731122" cy="1397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baseline="0">
              <a:solidFill>
                <a:schemeClr val="bg1"/>
              </a:solidFill>
              <a:latin typeface="PT Sans Narrow" panose="020B0506020203020204" pitchFamily="34" charset="0"/>
            </a:rPr>
            <a:t>SI TIENES UN NIVEL FREÁTICO A MENOS DE 1M DE DISTANCIA DEL FONDO DEL TANQUE, NO PODRÁS USAR EL TANQUE PARA INFILTRACIÓN.</a:t>
          </a:r>
        </a:p>
        <a:p>
          <a:endParaRPr lang="es-CO" sz="1400" b="1" baseline="0">
            <a:solidFill>
              <a:schemeClr val="bg1"/>
            </a:solidFill>
            <a:latin typeface="PT Sans Narrow" panose="020B0506020203020204" pitchFamily="34" charset="0"/>
          </a:endParaRPr>
        </a:p>
        <a:p>
          <a:r>
            <a:rPr lang="es-CO" sz="1400" b="1" baseline="0">
              <a:solidFill>
                <a:schemeClr val="bg1"/>
              </a:solidFill>
              <a:latin typeface="PT Sans Narrow" panose="020B0506020203020204" pitchFamily="34" charset="0"/>
            </a:rPr>
            <a:t>SI TIENES UN NIVEL FREÁTICO MUY SUPERFICIAL, SE RECOMIENDA HACER UN ANÁLISIS DE FLOTACIÓN PARA EVITAR DAÑOS EN EL TANQUE AQUACELL.</a:t>
          </a:r>
          <a:endParaRPr lang="es-CO" sz="1400" b="1">
            <a:solidFill>
              <a:schemeClr val="bg1"/>
            </a:solidFill>
            <a:latin typeface="PT Sans Narrow" panose="020B0506020203020204" pitchFamily="34" charset="0"/>
          </a:endParaRPr>
        </a:p>
      </xdr:txBody>
    </xdr:sp>
    <xdr:clientData/>
  </xdr:twoCellAnchor>
  <xdr:twoCellAnchor>
    <xdr:from>
      <xdr:col>5</xdr:col>
      <xdr:colOff>31749</xdr:colOff>
      <xdr:row>20</xdr:row>
      <xdr:rowOff>95250</xdr:rowOff>
    </xdr:from>
    <xdr:to>
      <xdr:col>8</xdr:col>
      <xdr:colOff>607218</xdr:colOff>
      <xdr:row>22</xdr:row>
      <xdr:rowOff>31750</xdr:rowOff>
    </xdr:to>
    <xdr:sp macro="" textlink="">
      <xdr:nvSpPr>
        <xdr:cNvPr id="54" name="CuadroTexto 53">
          <a:extLst>
            <a:ext uri="{FF2B5EF4-FFF2-40B4-BE49-F238E27FC236}">
              <a16:creationId xmlns:a16="http://schemas.microsoft.com/office/drawing/2014/main" id="{00000000-0008-0000-0300-000036000000}"/>
            </a:ext>
          </a:extLst>
        </xdr:cNvPr>
        <xdr:cNvSpPr txBox="1"/>
      </xdr:nvSpPr>
      <xdr:spPr>
        <a:xfrm>
          <a:off x="3841749" y="3905250"/>
          <a:ext cx="2861469"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baseline="0">
              <a:solidFill>
                <a:schemeClr val="bg1"/>
              </a:solidFill>
              <a:latin typeface="PT Sans Narrow" panose="020B0506020203020204" pitchFamily="34" charset="0"/>
            </a:rPr>
            <a:t>(ESTA CELDA TAMBIÉN PUEDE IR VACÍA).</a:t>
          </a:r>
        </a:p>
        <a:p>
          <a:endParaRPr lang="es-CO" sz="1400" b="1" baseline="0">
            <a:solidFill>
              <a:schemeClr val="bg1"/>
            </a:solidFill>
            <a:latin typeface="PT Sans Narrow" panose="020B0506020203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4</xdr:col>
      <xdr:colOff>756034</xdr:colOff>
      <xdr:row>165</xdr:row>
      <xdr:rowOff>31711</xdr:rowOff>
    </xdr:from>
    <xdr:to>
      <xdr:col>14</xdr:col>
      <xdr:colOff>722248</xdr:colOff>
      <xdr:row>166</xdr:row>
      <xdr:rowOff>183833</xdr:rowOff>
    </xdr:to>
    <xdr:sp macro="" textlink="">
      <xdr:nvSpPr>
        <xdr:cNvPr id="53" name="Forma libre: forma 52">
          <a:extLst>
            <a:ext uri="{FF2B5EF4-FFF2-40B4-BE49-F238E27FC236}">
              <a16:creationId xmlns:a16="http://schemas.microsoft.com/office/drawing/2014/main" id="{00000000-0008-0000-0400-000035000000}"/>
            </a:ext>
          </a:extLst>
        </xdr:cNvPr>
        <xdr:cNvSpPr>
          <a:spLocks noChangeAspect="1"/>
        </xdr:cNvSpPr>
      </xdr:nvSpPr>
      <xdr:spPr>
        <a:xfrm>
          <a:off x="3796414" y="31456591"/>
          <a:ext cx="7642412" cy="333097"/>
        </a:xfrm>
        <a:custGeom>
          <a:avLst/>
          <a:gdLst>
            <a:gd name="connsiteX0" fmla="*/ 0 w 6890994"/>
            <a:gd name="connsiteY0" fmla="*/ 0 h 363505"/>
            <a:gd name="connsiteX1" fmla="*/ 6890994 w 6890994"/>
            <a:gd name="connsiteY1" fmla="*/ 0 h 363505"/>
            <a:gd name="connsiteX2" fmla="*/ 6890994 w 6890994"/>
            <a:gd name="connsiteY2" fmla="*/ 73702 h 363505"/>
            <a:gd name="connsiteX3" fmla="*/ 6601228 w 6890994"/>
            <a:gd name="connsiteY3" fmla="*/ 363505 h 363505"/>
            <a:gd name="connsiteX4" fmla="*/ 289766 w 6890994"/>
            <a:gd name="connsiteY4" fmla="*/ 363505 h 363505"/>
            <a:gd name="connsiteX5" fmla="*/ 0 w 6890994"/>
            <a:gd name="connsiteY5" fmla="*/ 73702 h 3635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890994" h="363505">
              <a:moveTo>
                <a:pt x="0" y="0"/>
              </a:moveTo>
              <a:lnTo>
                <a:pt x="6890994" y="0"/>
              </a:lnTo>
              <a:lnTo>
                <a:pt x="6890994" y="73702"/>
              </a:lnTo>
              <a:cubicBezTo>
                <a:pt x="6890994" y="233755"/>
                <a:pt x="6761261" y="363505"/>
                <a:pt x="6601228" y="363505"/>
              </a:cubicBezTo>
              <a:lnTo>
                <a:pt x="289766" y="363505"/>
              </a:lnTo>
              <a:cubicBezTo>
                <a:pt x="129733" y="363505"/>
                <a:pt x="0" y="233755"/>
                <a:pt x="0" y="73702"/>
              </a:cubicBezTo>
              <a:close/>
            </a:path>
          </a:pathLst>
        </a:cu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clientData/>
  </xdr:twoCellAnchor>
  <xdr:twoCellAnchor editAs="absolute">
    <xdr:from>
      <xdr:col>5</xdr:col>
      <xdr:colOff>0</xdr:colOff>
      <xdr:row>163</xdr:row>
      <xdr:rowOff>69995</xdr:rowOff>
    </xdr:from>
    <xdr:to>
      <xdr:col>8</xdr:col>
      <xdr:colOff>419288</xdr:colOff>
      <xdr:row>166</xdr:row>
      <xdr:rowOff>187545</xdr:rowOff>
    </xdr:to>
    <xdr:sp macro="" textlink="">
      <xdr:nvSpPr>
        <xdr:cNvPr id="49" name="Marcador de texto 2">
          <a:extLst>
            <a:ext uri="{FF2B5EF4-FFF2-40B4-BE49-F238E27FC236}">
              <a16:creationId xmlns:a16="http://schemas.microsoft.com/office/drawing/2014/main" id="{00000000-0008-0000-0400-000031000000}"/>
            </a:ext>
          </a:extLst>
        </xdr:cNvPr>
        <xdr:cNvSpPr>
          <a:spLocks noGrp="1" noChangeAspect="1"/>
        </xdr:cNvSpPr>
      </xdr:nvSpPr>
      <xdr:spPr>
        <a:xfrm flipH="1" flipV="1">
          <a:off x="3810000" y="31115780"/>
          <a:ext cx="2705288" cy="67571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8</xdr:col>
      <xdr:colOff>415701</xdr:colOff>
      <xdr:row>163</xdr:row>
      <xdr:rowOff>69995</xdr:rowOff>
    </xdr:from>
    <xdr:to>
      <xdr:col>11</xdr:col>
      <xdr:colOff>606202</xdr:colOff>
      <xdr:row>166</xdr:row>
      <xdr:rowOff>187545</xdr:rowOff>
    </xdr:to>
    <xdr:sp macro="" textlink="">
      <xdr:nvSpPr>
        <xdr:cNvPr id="50" name="Marcador de texto 2">
          <a:extLst>
            <a:ext uri="{FF2B5EF4-FFF2-40B4-BE49-F238E27FC236}">
              <a16:creationId xmlns:a16="http://schemas.microsoft.com/office/drawing/2014/main" id="{00000000-0008-0000-0400-000032000000}"/>
            </a:ext>
          </a:extLst>
        </xdr:cNvPr>
        <xdr:cNvSpPr>
          <a:spLocks noGrp="1" noChangeAspect="1"/>
        </xdr:cNvSpPr>
      </xdr:nvSpPr>
      <xdr:spPr>
        <a:xfrm>
          <a:off x="6504081" y="31115780"/>
          <a:ext cx="2476501" cy="67571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13</xdr:col>
      <xdr:colOff>226976</xdr:colOff>
      <xdr:row>163</xdr:row>
      <xdr:rowOff>69995</xdr:rowOff>
    </xdr:from>
    <xdr:to>
      <xdr:col>14</xdr:col>
      <xdr:colOff>686829</xdr:colOff>
      <xdr:row>166</xdr:row>
      <xdr:rowOff>154781</xdr:rowOff>
    </xdr:to>
    <xdr:sp macro="" textlink="">
      <xdr:nvSpPr>
        <xdr:cNvPr id="51" name="Marcador de texto 2">
          <a:extLst>
            <a:ext uri="{FF2B5EF4-FFF2-40B4-BE49-F238E27FC236}">
              <a16:creationId xmlns:a16="http://schemas.microsoft.com/office/drawing/2014/main" id="{00000000-0008-0000-0400-000033000000}"/>
            </a:ext>
          </a:extLst>
        </xdr:cNvPr>
        <xdr:cNvSpPr>
          <a:spLocks noGrp="1" noChangeAspect="1"/>
        </xdr:cNvSpPr>
      </xdr:nvSpPr>
      <xdr:spPr>
        <a:xfrm flipV="1">
          <a:off x="10177744" y="31115780"/>
          <a:ext cx="1248523" cy="662001"/>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11</xdr:col>
      <xdr:colOff>454023</xdr:colOff>
      <xdr:row>163</xdr:row>
      <xdr:rowOff>69995</xdr:rowOff>
    </xdr:from>
    <xdr:to>
      <xdr:col>13</xdr:col>
      <xdr:colOff>230396</xdr:colOff>
      <xdr:row>166</xdr:row>
      <xdr:rowOff>154783</xdr:rowOff>
    </xdr:to>
    <xdr:sp macro="" textlink="">
      <xdr:nvSpPr>
        <xdr:cNvPr id="52" name="Marcador de texto 2">
          <a:extLst>
            <a:ext uri="{FF2B5EF4-FFF2-40B4-BE49-F238E27FC236}">
              <a16:creationId xmlns:a16="http://schemas.microsoft.com/office/drawing/2014/main" id="{00000000-0008-0000-0400-000034000000}"/>
            </a:ext>
          </a:extLst>
        </xdr:cNvPr>
        <xdr:cNvSpPr>
          <a:spLocks noGrp="1" noChangeAspect="1"/>
        </xdr:cNvSpPr>
      </xdr:nvSpPr>
      <xdr:spPr>
        <a:xfrm flipH="1" flipV="1">
          <a:off x="8826498" y="31115780"/>
          <a:ext cx="1354666" cy="662003"/>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8182" r="-91521"/>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15</xdr:col>
      <xdr:colOff>607724</xdr:colOff>
      <xdr:row>162</xdr:row>
      <xdr:rowOff>108102</xdr:rowOff>
    </xdr:from>
    <xdr:to>
      <xdr:col>17</xdr:col>
      <xdr:colOff>801921</xdr:colOff>
      <xdr:row>166</xdr:row>
      <xdr:rowOff>114899</xdr:rowOff>
    </xdr:to>
    <xdr:pic>
      <xdr:nvPicPr>
        <xdr:cNvPr id="2" name="Orbia Logo" descr="Pav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11067" y="30944337"/>
          <a:ext cx="1701052" cy="793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146267</xdr:colOff>
      <xdr:row>163</xdr:row>
      <xdr:rowOff>187059</xdr:rowOff>
    </xdr:from>
    <xdr:to>
      <xdr:col>2</xdr:col>
      <xdr:colOff>530212</xdr:colOff>
      <xdr:row>165</xdr:row>
      <xdr:rowOff>148914</xdr:rowOff>
    </xdr:to>
    <xdr:pic>
      <xdr:nvPicPr>
        <xdr:cNvPr id="16" name="LinkedIn">
          <a:hlinkClick xmlns:r="http://schemas.openxmlformats.org/officeDocument/2006/relationships" r:id="rId3"/>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72172" y="31219509"/>
          <a:ext cx="351560" cy="350475"/>
        </a:xfrm>
        <a:prstGeom prst="rect">
          <a:avLst/>
        </a:prstGeom>
      </xdr:spPr>
    </xdr:pic>
    <xdr:clientData/>
  </xdr:twoCellAnchor>
  <xdr:twoCellAnchor editAs="absolute">
    <xdr:from>
      <xdr:col>1</xdr:col>
      <xdr:colOff>260724</xdr:colOff>
      <xdr:row>164</xdr:row>
      <xdr:rowOff>72545</xdr:rowOff>
    </xdr:from>
    <xdr:to>
      <xdr:col>1</xdr:col>
      <xdr:colOff>679429</xdr:colOff>
      <xdr:row>165</xdr:row>
      <xdr:rowOff>186800</xdr:rowOff>
    </xdr:to>
    <xdr:pic>
      <xdr:nvPicPr>
        <xdr:cNvPr id="18" name="YouTube">
          <a:hlinkClick xmlns:r="http://schemas.openxmlformats.org/officeDocument/2006/relationships" r:id="rId5"/>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15104" y="31293590"/>
          <a:ext cx="405370" cy="312375"/>
        </a:xfrm>
        <a:prstGeom prst="rect">
          <a:avLst/>
        </a:prstGeom>
      </xdr:spPr>
    </xdr:pic>
    <xdr:clientData/>
  </xdr:twoCellAnchor>
  <xdr:twoCellAnchor editAs="absolute">
    <xdr:from>
      <xdr:col>0</xdr:col>
      <xdr:colOff>412754</xdr:colOff>
      <xdr:row>163</xdr:row>
      <xdr:rowOff>187059</xdr:rowOff>
    </xdr:from>
    <xdr:to>
      <xdr:col>1</xdr:col>
      <xdr:colOff>1405</xdr:colOff>
      <xdr:row>165</xdr:row>
      <xdr:rowOff>148914</xdr:rowOff>
    </xdr:to>
    <xdr:pic>
      <xdr:nvPicPr>
        <xdr:cNvPr id="17" name="Facebook">
          <a:hlinkClick xmlns:r="http://schemas.openxmlformats.org/officeDocument/2006/relationships" r:id="rId7"/>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12754" y="31219509"/>
          <a:ext cx="350651" cy="350475"/>
        </a:xfrm>
        <a:prstGeom prst="rect">
          <a:avLst/>
        </a:prstGeom>
      </xdr:spPr>
    </xdr:pic>
    <xdr:clientData/>
  </xdr:twoCellAnchor>
  <xdr:twoCellAnchor editAs="absolute">
    <xdr:from>
      <xdr:col>0</xdr:col>
      <xdr:colOff>0</xdr:colOff>
      <xdr:row>143</xdr:row>
      <xdr:rowOff>111078</xdr:rowOff>
    </xdr:from>
    <xdr:to>
      <xdr:col>4</xdr:col>
      <xdr:colOff>300990</xdr:colOff>
      <xdr:row>163</xdr:row>
      <xdr:rowOff>186753</xdr:rowOff>
    </xdr:to>
    <xdr:sp macro="" textlink="">
      <xdr:nvSpPr>
        <xdr:cNvPr id="7" name="Info Pavco">
          <a:extLst>
            <a:ext uri="{FF2B5EF4-FFF2-40B4-BE49-F238E27FC236}">
              <a16:creationId xmlns:a16="http://schemas.microsoft.com/office/drawing/2014/main" id="{00000000-0008-0000-0400-000007000000}"/>
            </a:ext>
          </a:extLst>
        </xdr:cNvPr>
        <xdr:cNvSpPr txBox="1">
          <a:spLocks noChangeAspect="1"/>
        </xdr:cNvSpPr>
      </xdr:nvSpPr>
      <xdr:spPr>
        <a:xfrm>
          <a:off x="0" y="27335433"/>
          <a:ext cx="3333750" cy="389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i="0">
              <a:solidFill>
                <a:schemeClr val="bg1"/>
              </a:solidFill>
              <a:effectLst/>
              <a:latin typeface="PT Sans Narrow" panose="020B0506020203020204" pitchFamily="34" charset="0"/>
              <a:ea typeface="+mn-ea"/>
              <a:cs typeface="+mn-cs"/>
            </a:rPr>
            <a:t>Bogotá: Autopista Sur # 71-75.</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(601) 782 5000 Ext.:1101 Fax: +57 (601) 782 5020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Cali: Calle 64 Norte 5BN 46. Oficina R01, Centro Empresa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(602) 829 8969 EXT 2809</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Bucaramanga: Calle 30 # 22-129 Oficina 1802, Floridablanca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+57 314 330 2331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Barranquilla: Conmutador: +57 (605) 375 8100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0041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Itagüí - Antioquia: Calle 27 # 41-80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(604) 325 6660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Eje Cafetero: Carrera 17 # 5-58 Oficina 304 , Pereira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0025</a:t>
          </a:r>
          <a:endParaRPr lang="es-CO" sz="1200" b="1">
            <a:solidFill>
              <a:schemeClr val="bg1"/>
            </a:solidFill>
            <a:latin typeface="PT Sans Narrow" panose="020B0506020203020204" pitchFamily="34" charset="0"/>
          </a:endParaRPr>
        </a:p>
      </xdr:txBody>
    </xdr:sp>
    <xdr:clientData/>
  </xdr:twoCellAnchor>
  <xdr:twoCellAnchor editAs="absolute">
    <xdr:from>
      <xdr:col>5</xdr:col>
      <xdr:colOff>260827</xdr:colOff>
      <xdr:row>53</xdr:row>
      <xdr:rowOff>72612</xdr:rowOff>
    </xdr:from>
    <xdr:to>
      <xdr:col>14</xdr:col>
      <xdr:colOff>493554</xdr:colOff>
      <xdr:row>76</xdr:row>
      <xdr:rowOff>186807</xdr:rowOff>
    </xdr:to>
    <xdr:graphicFrame macro="">
      <xdr:nvGraphicFramePr>
        <xdr:cNvPr id="44" name="Hidrograma AQ">
          <a:extLst>
            <a:ext uri="{FF2B5EF4-FFF2-40B4-BE49-F238E27FC236}">
              <a16:creationId xmlns:a16="http://schemas.microsoft.com/office/drawing/2014/main" id="{00000000-0008-0000-0400-00002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16</xdr:col>
      <xdr:colOff>725258</xdr:colOff>
      <xdr:row>155</xdr:row>
      <xdr:rowOff>149320</xdr:rowOff>
    </xdr:from>
    <xdr:to>
      <xdr:col>17</xdr:col>
      <xdr:colOff>915565</xdr:colOff>
      <xdr:row>162</xdr:row>
      <xdr:rowOff>34842</xdr:rowOff>
    </xdr:to>
    <xdr:grpSp>
      <xdr:nvGrpSpPr>
        <xdr:cNvPr id="57" name="Boton Datos de Proy Down">
          <a:extLst>
            <a:ext uri="{FF2B5EF4-FFF2-40B4-BE49-F238E27FC236}">
              <a16:creationId xmlns:a16="http://schemas.microsoft.com/office/drawing/2014/main" id="{00000000-0008-0000-0400-000039000000}"/>
            </a:ext>
          </a:extLst>
        </xdr:cNvPr>
        <xdr:cNvGrpSpPr>
          <a:grpSpLocks noChangeAspect="1"/>
        </xdr:cNvGrpSpPr>
      </xdr:nvGrpSpPr>
      <xdr:grpSpPr>
        <a:xfrm>
          <a:off x="12988696" y="29676820"/>
          <a:ext cx="952307" cy="1219022"/>
          <a:chOff x="1725407" y="1124918"/>
          <a:chExt cx="1048614" cy="1520915"/>
        </a:xfrm>
      </xdr:grpSpPr>
      <xdr:sp macro="[0]!Volver_Datos_Proy" textlink="">
        <xdr:nvSpPr>
          <xdr:cNvPr id="58" name="Octágono 57">
            <a:extLst>
              <a:ext uri="{FF2B5EF4-FFF2-40B4-BE49-F238E27FC236}">
                <a16:creationId xmlns:a16="http://schemas.microsoft.com/office/drawing/2014/main" id="{00000000-0008-0000-0400-00003A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Volver_Datos_Proy" textlink="">
        <xdr:nvSpPr>
          <xdr:cNvPr id="59" name="CuadroTexto 58">
            <a:extLst>
              <a:ext uri="{FF2B5EF4-FFF2-40B4-BE49-F238E27FC236}">
                <a16:creationId xmlns:a16="http://schemas.microsoft.com/office/drawing/2014/main" id="{00000000-0008-0000-0400-00003B000000}"/>
              </a:ext>
            </a:extLst>
          </xdr:cNvPr>
          <xdr:cNvSpPr txBox="1"/>
        </xdr:nvSpPr>
        <xdr:spPr>
          <a:xfrm>
            <a:off x="1725407" y="1124918"/>
            <a:ext cx="1048614" cy="1021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DATOS DE PROYECTO</a:t>
            </a:r>
          </a:p>
        </xdr:txBody>
      </xdr:sp>
      <xdr:pic macro="[0]!Volver_Datos_Proy">
        <xdr:nvPicPr>
          <xdr:cNvPr id="60" name="Imagen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twoCellAnchor editAs="absolute">
    <xdr:from>
      <xdr:col>16</xdr:col>
      <xdr:colOff>725259</xdr:colOff>
      <xdr:row>21</xdr:row>
      <xdr:rowOff>108327</xdr:rowOff>
    </xdr:from>
    <xdr:to>
      <xdr:col>17</xdr:col>
      <xdr:colOff>915566</xdr:colOff>
      <xdr:row>27</xdr:row>
      <xdr:rowOff>184349</xdr:rowOff>
    </xdr:to>
    <xdr:grpSp>
      <xdr:nvGrpSpPr>
        <xdr:cNvPr id="14" name="Boton Datos de Proy Up">
          <a:extLst>
            <a:ext uri="{FF2B5EF4-FFF2-40B4-BE49-F238E27FC236}">
              <a16:creationId xmlns:a16="http://schemas.microsoft.com/office/drawing/2014/main" id="{00000000-0008-0000-0400-00000E000000}"/>
            </a:ext>
          </a:extLst>
        </xdr:cNvPr>
        <xdr:cNvGrpSpPr>
          <a:grpSpLocks noChangeAspect="1"/>
        </xdr:cNvGrpSpPr>
      </xdr:nvGrpSpPr>
      <xdr:grpSpPr>
        <a:xfrm>
          <a:off x="12988697" y="4108827"/>
          <a:ext cx="952307" cy="1219022"/>
          <a:chOff x="1725407" y="1124918"/>
          <a:chExt cx="1048614" cy="1520915"/>
        </a:xfrm>
      </xdr:grpSpPr>
      <xdr:sp macro="[0]!Volver_Datos_Proy" textlink="">
        <xdr:nvSpPr>
          <xdr:cNvPr id="54" name="Octágono 53">
            <a:extLst>
              <a:ext uri="{FF2B5EF4-FFF2-40B4-BE49-F238E27FC236}">
                <a16:creationId xmlns:a16="http://schemas.microsoft.com/office/drawing/2014/main" id="{00000000-0008-0000-0400-000036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Volver_Datos_Proy" textlink="">
        <xdr:nvSpPr>
          <xdr:cNvPr id="55" name="CuadroTexto 54">
            <a:extLst>
              <a:ext uri="{FF2B5EF4-FFF2-40B4-BE49-F238E27FC236}">
                <a16:creationId xmlns:a16="http://schemas.microsoft.com/office/drawing/2014/main" id="{00000000-0008-0000-0400-000037000000}"/>
              </a:ext>
            </a:extLst>
          </xdr:cNvPr>
          <xdr:cNvSpPr txBox="1"/>
        </xdr:nvSpPr>
        <xdr:spPr>
          <a:xfrm>
            <a:off x="1725407" y="1124918"/>
            <a:ext cx="1048614" cy="1021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DATOS DE PROYECTO</a:t>
            </a:r>
          </a:p>
        </xdr:txBody>
      </xdr:sp>
      <xdr:pic macro="[0]!Volver_Datos_Proy">
        <xdr:nvPicPr>
          <xdr:cNvPr id="13" name="Imagen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twoCellAnchor editAs="absolute">
    <xdr:from>
      <xdr:col>3</xdr:col>
      <xdr:colOff>412542</xdr:colOff>
      <xdr:row>144</xdr:row>
      <xdr:rowOff>108464</xdr:rowOff>
    </xdr:from>
    <xdr:to>
      <xdr:col>10</xdr:col>
      <xdr:colOff>717765</xdr:colOff>
      <xdr:row>146</xdr:row>
      <xdr:rowOff>110581</xdr:rowOff>
    </xdr:to>
    <xdr:grpSp>
      <xdr:nvGrpSpPr>
        <xdr:cNvPr id="46" name="Novacam">
          <a:extLst>
            <a:ext uri="{FF2B5EF4-FFF2-40B4-BE49-F238E27FC236}">
              <a16:creationId xmlns:a16="http://schemas.microsoft.com/office/drawing/2014/main" id="{00000000-0008-0000-0400-00002E000000}"/>
            </a:ext>
          </a:extLst>
        </xdr:cNvPr>
        <xdr:cNvGrpSpPr>
          <a:grpSpLocks noChangeAspect="1"/>
        </xdr:cNvGrpSpPr>
      </xdr:nvGrpSpPr>
      <xdr:grpSpPr>
        <a:xfrm>
          <a:off x="2698542" y="27540464"/>
          <a:ext cx="5639223" cy="383117"/>
          <a:chOff x="3767668" y="14319250"/>
          <a:chExt cx="5662083" cy="383117"/>
        </a:xfrm>
      </xdr:grpSpPr>
      <xdr:sp macro="" textlink="">
        <xdr:nvSpPr>
          <xdr:cNvPr id="47" name="Rectángulo: esquinas diagonales cortadas 46">
            <a:extLst>
              <a:ext uri="{FF2B5EF4-FFF2-40B4-BE49-F238E27FC236}">
                <a16:creationId xmlns:a16="http://schemas.microsoft.com/office/drawing/2014/main" id="{00000000-0008-0000-0400-00002F000000}"/>
              </a:ext>
            </a:extLst>
          </xdr:cNvPr>
          <xdr:cNvSpPr/>
        </xdr:nvSpPr>
        <xdr:spPr>
          <a:xfrm flipV="1">
            <a:off x="4011081" y="14319250"/>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8" name="CuadroTexto 47">
            <a:extLst>
              <a:ext uri="{FF2B5EF4-FFF2-40B4-BE49-F238E27FC236}">
                <a16:creationId xmlns:a16="http://schemas.microsoft.com/office/drawing/2014/main" id="{00000000-0008-0000-0400-000030000000}"/>
              </a:ext>
            </a:extLst>
          </xdr:cNvPr>
          <xdr:cNvSpPr txBox="1"/>
        </xdr:nvSpPr>
        <xdr:spPr>
          <a:xfrm>
            <a:off x="3767668" y="14353304"/>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CÁMARAS NOVACAM PARA SEDIMENTADOR</a:t>
            </a:r>
            <a:r>
              <a:rPr lang="es-CO" sz="1400" b="1" baseline="0">
                <a:solidFill>
                  <a:schemeClr val="bg1"/>
                </a:solidFill>
                <a:latin typeface="PT Sans Narrow" panose="020B0506020203020204" pitchFamily="34" charset="0"/>
              </a:rPr>
              <a:t> Y/O </a:t>
            </a:r>
            <a:r>
              <a:rPr lang="es-CO" sz="1400" b="1">
                <a:solidFill>
                  <a:schemeClr val="bg1"/>
                </a:solidFill>
                <a:latin typeface="PT Sans Narrow" panose="020B0506020203020204" pitchFamily="34" charset="0"/>
              </a:rPr>
              <a:t>POZO EYECTOR (OPCIONAL)</a:t>
            </a:r>
          </a:p>
        </xdr:txBody>
      </xdr:sp>
    </xdr:grpSp>
    <xdr:clientData/>
  </xdr:twoCellAnchor>
  <xdr:twoCellAnchor editAs="absolute">
    <xdr:from>
      <xdr:col>3</xdr:col>
      <xdr:colOff>451064</xdr:colOff>
      <xdr:row>109</xdr:row>
      <xdr:rowOff>108310</xdr:rowOff>
    </xdr:from>
    <xdr:to>
      <xdr:col>11</xdr:col>
      <xdr:colOff>2</xdr:colOff>
      <xdr:row>111</xdr:row>
      <xdr:rowOff>108522</xdr:rowOff>
    </xdr:to>
    <xdr:grpSp>
      <xdr:nvGrpSpPr>
        <xdr:cNvPr id="37" name="Tuberías">
          <a:extLst>
            <a:ext uri="{FF2B5EF4-FFF2-40B4-BE49-F238E27FC236}">
              <a16:creationId xmlns:a16="http://schemas.microsoft.com/office/drawing/2014/main" id="{00000000-0008-0000-0400-000025000000}"/>
            </a:ext>
          </a:extLst>
        </xdr:cNvPr>
        <xdr:cNvGrpSpPr>
          <a:grpSpLocks noChangeAspect="1"/>
        </xdr:cNvGrpSpPr>
      </xdr:nvGrpSpPr>
      <xdr:grpSpPr>
        <a:xfrm>
          <a:off x="2737064" y="20872810"/>
          <a:ext cx="5644938" cy="381212"/>
          <a:chOff x="3810000" y="14319250"/>
          <a:chExt cx="5662083" cy="383117"/>
        </a:xfrm>
      </xdr:grpSpPr>
      <xdr:sp macro="" textlink="">
        <xdr:nvSpPr>
          <xdr:cNvPr id="39" name="Rectángulo: esquinas diagonales cortadas 38">
            <a:extLst>
              <a:ext uri="{FF2B5EF4-FFF2-40B4-BE49-F238E27FC236}">
                <a16:creationId xmlns:a16="http://schemas.microsoft.com/office/drawing/2014/main" id="{00000000-0008-0000-0400-000027000000}"/>
              </a:ext>
            </a:extLst>
          </xdr:cNvPr>
          <xdr:cNvSpPr/>
        </xdr:nvSpPr>
        <xdr:spPr>
          <a:xfrm flipV="1">
            <a:off x="4011081" y="14319250"/>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3810000" y="14353304"/>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TUBERÍAS DE ENTRADA,</a:t>
            </a:r>
            <a:r>
              <a:rPr lang="es-CO" sz="1400" b="1" baseline="0">
                <a:solidFill>
                  <a:schemeClr val="bg1"/>
                </a:solidFill>
                <a:latin typeface="PT Sans Narrow" panose="020B0506020203020204" pitchFamily="34" charset="0"/>
              </a:rPr>
              <a:t> SALIDA Y REBOSE</a:t>
            </a:r>
            <a:endParaRPr lang="es-CO" sz="1400" b="1">
              <a:solidFill>
                <a:schemeClr val="bg1"/>
              </a:solidFill>
              <a:latin typeface="PT Sans Narrow" panose="020B0506020203020204" pitchFamily="34" charset="0"/>
            </a:endParaRPr>
          </a:p>
        </xdr:txBody>
      </xdr:sp>
    </xdr:grpSp>
    <xdr:clientData/>
  </xdr:twoCellAnchor>
  <xdr:twoCellAnchor editAs="absolute">
    <xdr:from>
      <xdr:col>3</xdr:col>
      <xdr:colOff>451064</xdr:colOff>
      <xdr:row>77</xdr:row>
      <xdr:rowOff>107841</xdr:rowOff>
    </xdr:from>
    <xdr:to>
      <xdr:col>11</xdr:col>
      <xdr:colOff>2</xdr:colOff>
      <xdr:row>79</xdr:row>
      <xdr:rowOff>108053</xdr:rowOff>
    </xdr:to>
    <xdr:grpSp>
      <xdr:nvGrpSpPr>
        <xdr:cNvPr id="10" name="Dimensiones">
          <a:extLst>
            <a:ext uri="{FF2B5EF4-FFF2-40B4-BE49-F238E27FC236}">
              <a16:creationId xmlns:a16="http://schemas.microsoft.com/office/drawing/2014/main" id="{00000000-0008-0000-0400-00000A000000}"/>
            </a:ext>
          </a:extLst>
        </xdr:cNvPr>
        <xdr:cNvGrpSpPr>
          <a:grpSpLocks noChangeAspect="1"/>
        </xdr:cNvGrpSpPr>
      </xdr:nvGrpSpPr>
      <xdr:grpSpPr>
        <a:xfrm>
          <a:off x="2737064" y="14776341"/>
          <a:ext cx="5644938" cy="381212"/>
          <a:chOff x="3810000" y="14319250"/>
          <a:chExt cx="5662083" cy="383117"/>
        </a:xfrm>
      </xdr:grpSpPr>
      <xdr:sp macro="" textlink="">
        <xdr:nvSpPr>
          <xdr:cNvPr id="33" name="Rectángulo: esquinas diagonales cortadas 32">
            <a:extLst>
              <a:ext uri="{FF2B5EF4-FFF2-40B4-BE49-F238E27FC236}">
                <a16:creationId xmlns:a16="http://schemas.microsoft.com/office/drawing/2014/main" id="{00000000-0008-0000-0400-000021000000}"/>
              </a:ext>
            </a:extLst>
          </xdr:cNvPr>
          <xdr:cNvSpPr/>
        </xdr:nvSpPr>
        <xdr:spPr>
          <a:xfrm flipV="1">
            <a:off x="4011081" y="14319250"/>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6" name="CuadroTexto 35">
            <a:extLst>
              <a:ext uri="{FF2B5EF4-FFF2-40B4-BE49-F238E27FC236}">
                <a16:creationId xmlns:a16="http://schemas.microsoft.com/office/drawing/2014/main" id="{00000000-0008-0000-0400-000024000000}"/>
              </a:ext>
            </a:extLst>
          </xdr:cNvPr>
          <xdr:cNvSpPr txBox="1"/>
        </xdr:nvSpPr>
        <xdr:spPr>
          <a:xfrm>
            <a:off x="3810000" y="14353304"/>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TIPO DE</a:t>
            </a:r>
            <a:r>
              <a:rPr lang="es-CO" sz="1400" b="1" baseline="0">
                <a:solidFill>
                  <a:schemeClr val="bg1"/>
                </a:solidFill>
                <a:latin typeface="PT Sans Narrow" panose="020B0506020203020204" pitchFamily="34" charset="0"/>
              </a:rPr>
              <a:t> CELDA Y </a:t>
            </a:r>
            <a:r>
              <a:rPr lang="es-CO" sz="1400" b="1">
                <a:solidFill>
                  <a:schemeClr val="bg1"/>
                </a:solidFill>
                <a:latin typeface="PT Sans Narrow" panose="020B0506020203020204" pitchFamily="34" charset="0"/>
              </a:rPr>
              <a:t>DIMENSIONES</a:t>
            </a:r>
            <a:r>
              <a:rPr lang="es-CO" sz="1400" b="1" baseline="0">
                <a:solidFill>
                  <a:schemeClr val="bg1"/>
                </a:solidFill>
                <a:latin typeface="PT Sans Narrow" panose="020B0506020203020204" pitchFamily="34" charset="0"/>
              </a:rPr>
              <a:t> DEL TANQUE</a:t>
            </a:r>
            <a:endParaRPr lang="es-CO" sz="1400" b="1">
              <a:solidFill>
                <a:schemeClr val="bg1"/>
              </a:solidFill>
              <a:latin typeface="PT Sans Narrow" panose="020B0506020203020204" pitchFamily="34" charset="0"/>
            </a:endParaRPr>
          </a:p>
        </xdr:txBody>
      </xdr:sp>
    </xdr:grpSp>
    <xdr:clientData/>
  </xdr:twoCellAnchor>
  <xdr:twoCellAnchor editAs="absolute">
    <xdr:from>
      <xdr:col>3</xdr:col>
      <xdr:colOff>451064</xdr:colOff>
      <xdr:row>14</xdr:row>
      <xdr:rowOff>108172</xdr:rowOff>
    </xdr:from>
    <xdr:to>
      <xdr:col>11</xdr:col>
      <xdr:colOff>2</xdr:colOff>
      <xdr:row>16</xdr:row>
      <xdr:rowOff>108384</xdr:rowOff>
    </xdr:to>
    <xdr:grpSp>
      <xdr:nvGrpSpPr>
        <xdr:cNvPr id="9" name="Tabla y Grafica">
          <a:extLst>
            <a:ext uri="{FF2B5EF4-FFF2-40B4-BE49-F238E27FC236}">
              <a16:creationId xmlns:a16="http://schemas.microsoft.com/office/drawing/2014/main" id="{00000000-0008-0000-0400-000009000000}"/>
            </a:ext>
          </a:extLst>
        </xdr:cNvPr>
        <xdr:cNvGrpSpPr>
          <a:grpSpLocks noChangeAspect="1"/>
        </xdr:cNvGrpSpPr>
      </xdr:nvGrpSpPr>
      <xdr:grpSpPr>
        <a:xfrm>
          <a:off x="2737064" y="2775172"/>
          <a:ext cx="5644938" cy="381212"/>
          <a:chOff x="2730500" y="3196169"/>
          <a:chExt cx="5662083" cy="383117"/>
        </a:xfrm>
      </xdr:grpSpPr>
      <xdr:sp macro="" textlink="">
        <xdr:nvSpPr>
          <xdr:cNvPr id="42" name="Rectángulo: esquinas diagonales cortadas 41">
            <a:extLst>
              <a:ext uri="{FF2B5EF4-FFF2-40B4-BE49-F238E27FC236}">
                <a16:creationId xmlns:a16="http://schemas.microsoft.com/office/drawing/2014/main" id="{00000000-0008-0000-0400-00002A000000}"/>
              </a:ext>
            </a:extLst>
          </xdr:cNvPr>
          <xdr:cNvSpPr/>
        </xdr:nvSpPr>
        <xdr:spPr>
          <a:xfrm flipV="1">
            <a:off x="2931581" y="3196169"/>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3" name="CuadroTexto 42">
            <a:extLst>
              <a:ext uri="{FF2B5EF4-FFF2-40B4-BE49-F238E27FC236}">
                <a16:creationId xmlns:a16="http://schemas.microsoft.com/office/drawing/2014/main" id="{00000000-0008-0000-0400-00002B000000}"/>
              </a:ext>
            </a:extLst>
          </xdr:cNvPr>
          <xdr:cNvSpPr txBox="1"/>
        </xdr:nvSpPr>
        <xdr:spPr>
          <a:xfrm>
            <a:off x="2730500" y="3230223"/>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TABLA Y GRÁFICA DEL HIDROGRAMA -MÉTODO DEL TIEMPO PICO-</a:t>
            </a:r>
          </a:p>
        </xdr:txBody>
      </xdr:sp>
    </xdr:grpSp>
    <xdr:clientData/>
  </xdr:twoCellAnchor>
  <xdr:twoCellAnchor editAs="absolute">
    <xdr:from>
      <xdr:col>3</xdr:col>
      <xdr:colOff>451064</xdr:colOff>
      <xdr:row>5</xdr:row>
      <xdr:rowOff>112449</xdr:rowOff>
    </xdr:from>
    <xdr:to>
      <xdr:col>11</xdr:col>
      <xdr:colOff>2</xdr:colOff>
      <xdr:row>7</xdr:row>
      <xdr:rowOff>114566</xdr:rowOff>
    </xdr:to>
    <xdr:grpSp>
      <xdr:nvGrpSpPr>
        <xdr:cNvPr id="8" name="Datos de Entrada">
          <a:extLst>
            <a:ext uri="{FF2B5EF4-FFF2-40B4-BE49-F238E27FC236}">
              <a16:creationId xmlns:a16="http://schemas.microsoft.com/office/drawing/2014/main" id="{00000000-0008-0000-0400-000008000000}"/>
            </a:ext>
          </a:extLst>
        </xdr:cNvPr>
        <xdr:cNvGrpSpPr>
          <a:grpSpLocks noChangeAspect="1"/>
        </xdr:cNvGrpSpPr>
      </xdr:nvGrpSpPr>
      <xdr:grpSpPr>
        <a:xfrm>
          <a:off x="2737064" y="1064949"/>
          <a:ext cx="5644938" cy="383117"/>
          <a:chOff x="2719919" y="1100667"/>
          <a:chExt cx="5662083" cy="383117"/>
        </a:xfrm>
      </xdr:grpSpPr>
      <xdr:sp macro="" textlink="">
        <xdr:nvSpPr>
          <xdr:cNvPr id="40" name="Rectángulo: esquinas diagonales cortadas 39">
            <a:extLst>
              <a:ext uri="{FF2B5EF4-FFF2-40B4-BE49-F238E27FC236}">
                <a16:creationId xmlns:a16="http://schemas.microsoft.com/office/drawing/2014/main" id="{00000000-0008-0000-0400-000028000000}"/>
              </a:ext>
            </a:extLst>
          </xdr:cNvPr>
          <xdr:cNvSpPr/>
        </xdr:nvSpPr>
        <xdr:spPr>
          <a:xfrm flipV="1">
            <a:off x="2921000" y="1100667"/>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1" name="CuadroTexto 40">
            <a:extLst>
              <a:ext uri="{FF2B5EF4-FFF2-40B4-BE49-F238E27FC236}">
                <a16:creationId xmlns:a16="http://schemas.microsoft.com/office/drawing/2014/main" id="{00000000-0008-0000-0400-000029000000}"/>
              </a:ext>
            </a:extLst>
          </xdr:cNvPr>
          <xdr:cNvSpPr txBox="1"/>
        </xdr:nvSpPr>
        <xdr:spPr>
          <a:xfrm>
            <a:off x="2719919" y="1134721"/>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DATOS DE ENTRADA PARA EL HIDROGRAMA -MÉTODO DEL TIEMPO PICO-</a:t>
            </a:r>
          </a:p>
        </xdr:txBody>
      </xdr:sp>
    </xdr:grpSp>
    <xdr:clientData/>
  </xdr:twoCellAnchor>
  <xdr:twoCellAnchor editAs="absolute">
    <xdr:from>
      <xdr:col>12</xdr:col>
      <xdr:colOff>408793</xdr:colOff>
      <xdr:row>0</xdr:row>
      <xdr:rowOff>35580</xdr:rowOff>
    </xdr:from>
    <xdr:to>
      <xdr:col>15</xdr:col>
      <xdr:colOff>9670</xdr:colOff>
      <xdr:row>5</xdr:row>
      <xdr:rowOff>33480</xdr:rowOff>
    </xdr:to>
    <xdr:grpSp>
      <xdr:nvGrpSpPr>
        <xdr:cNvPr id="5" name="DDM">
          <a:extLst>
            <a:ext uri="{FF2B5EF4-FFF2-40B4-BE49-F238E27FC236}">
              <a16:creationId xmlns:a16="http://schemas.microsoft.com/office/drawing/2014/main" id="{00000000-0008-0000-0400-000005000000}"/>
            </a:ext>
          </a:extLst>
        </xdr:cNvPr>
        <xdr:cNvGrpSpPr>
          <a:grpSpLocks noChangeAspect="1"/>
        </xdr:cNvGrpSpPr>
      </xdr:nvGrpSpPr>
      <xdr:grpSpPr>
        <a:xfrm>
          <a:off x="9624231" y="35580"/>
          <a:ext cx="1886877" cy="950400"/>
          <a:chOff x="9553727" y="21166"/>
          <a:chExt cx="1887478" cy="964952"/>
        </a:xfrm>
      </xdr:grpSpPr>
      <xdr:sp macro="[0]!DDM" textlink="">
        <xdr:nvSpPr>
          <xdr:cNvPr id="25" name="Pestaña DDM">
            <a:extLst>
              <a:ext uri="{FF2B5EF4-FFF2-40B4-BE49-F238E27FC236}">
                <a16:creationId xmlns:a16="http://schemas.microsoft.com/office/drawing/2014/main" id="{00000000-0008-0000-0400-000019000000}"/>
              </a:ext>
            </a:extLst>
          </xdr:cNvPr>
          <xdr:cNvSpPr/>
        </xdr:nvSpPr>
        <xdr:spPr>
          <a:xfrm flipH="1">
            <a:off x="9553727" y="21166"/>
            <a:ext cx="1872596" cy="964952"/>
          </a:xfrm>
          <a:custGeom>
            <a:avLst/>
            <a:gdLst>
              <a:gd name="connsiteX0" fmla="*/ 289766 w 1739654"/>
              <a:gd name="connsiteY0" fmla="*/ 0 h 857912"/>
              <a:gd name="connsiteX1" fmla="*/ 1153172 w 1739654"/>
              <a:gd name="connsiteY1" fmla="*/ 0 h 857912"/>
              <a:gd name="connsiteX2" fmla="*/ 1171726 w 1739654"/>
              <a:gd name="connsiteY2" fmla="*/ 1871 h 857912"/>
              <a:gd name="connsiteX3" fmla="*/ 1448928 w 1739654"/>
              <a:gd name="connsiteY3" fmla="*/ 279073 h 857912"/>
              <a:gd name="connsiteX4" fmla="*/ 1449888 w 1739654"/>
              <a:gd name="connsiteY4" fmla="*/ 288599 h 857912"/>
              <a:gd name="connsiteX5" fmla="*/ 1449888 w 1739654"/>
              <a:gd name="connsiteY5" fmla="*/ 568146 h 857912"/>
              <a:gd name="connsiteX6" fmla="*/ 1739654 w 1739654"/>
              <a:gd name="connsiteY6" fmla="*/ 857912 h 857912"/>
              <a:gd name="connsiteX7" fmla="*/ 352308 w 1739654"/>
              <a:gd name="connsiteY7" fmla="*/ 857912 h 857912"/>
              <a:gd name="connsiteX8" fmla="*/ 0 w 1739654"/>
              <a:gd name="connsiteY8" fmla="*/ 857912 h 857912"/>
              <a:gd name="connsiteX9" fmla="*/ 0 w 1739654"/>
              <a:gd name="connsiteY9" fmla="*/ 289766 h 857912"/>
              <a:gd name="connsiteX10" fmla="*/ 289766 w 1739654"/>
              <a:gd name="connsiteY10" fmla="*/ 0 h 857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39654" h="857912">
                <a:moveTo>
                  <a:pt x="289766" y="0"/>
                </a:moveTo>
                <a:lnTo>
                  <a:pt x="1153172" y="0"/>
                </a:lnTo>
                <a:lnTo>
                  <a:pt x="1171726" y="1871"/>
                </a:lnTo>
                <a:cubicBezTo>
                  <a:pt x="1310865" y="30343"/>
                  <a:pt x="1420456" y="139933"/>
                  <a:pt x="1448928" y="279073"/>
                </a:cubicBezTo>
                <a:lnTo>
                  <a:pt x="1449888" y="288599"/>
                </a:lnTo>
                <a:lnTo>
                  <a:pt x="1449888" y="568146"/>
                </a:lnTo>
                <a:cubicBezTo>
                  <a:pt x="1449888" y="728179"/>
                  <a:pt x="1579621" y="857912"/>
                  <a:pt x="1739654" y="857912"/>
                </a:cubicBezTo>
                <a:lnTo>
                  <a:pt x="352308" y="857912"/>
                </a:lnTo>
                <a:lnTo>
                  <a:pt x="0" y="857912"/>
                </a:lnTo>
                <a:lnTo>
                  <a:pt x="0" y="289766"/>
                </a:lnTo>
                <a:cubicBezTo>
                  <a:pt x="0" y="129733"/>
                  <a:pt x="129733" y="0"/>
                  <a:pt x="289766" y="0"/>
                </a:cubicBezTo>
                <a:close/>
              </a:path>
            </a:pathLst>
          </a:custGeom>
          <a:solidFill>
            <a:srgbClr val="2B2B6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0]!DDM" textlink="">
        <xdr:nvSpPr>
          <xdr:cNvPr id="38" name="Texto DDM">
            <a:extLst>
              <a:ext uri="{FF2B5EF4-FFF2-40B4-BE49-F238E27FC236}">
                <a16:creationId xmlns:a16="http://schemas.microsoft.com/office/drawing/2014/main" id="{00000000-0008-0000-0400-000026000000}"/>
              </a:ext>
            </a:extLst>
          </xdr:cNvPr>
          <xdr:cNvSpPr txBox="1"/>
        </xdr:nvSpPr>
        <xdr:spPr>
          <a:xfrm>
            <a:off x="9872382" y="106456"/>
            <a:ext cx="1568823" cy="818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solidFill>
                <a:effectLst/>
                <a:latin typeface="PT Sans Narrow" panose="020B0506020203020204" pitchFamily="34" charset="0"/>
                <a:ea typeface="+mn-ea"/>
                <a:cs typeface="+mn-cs"/>
              </a:rPr>
              <a:t>DESPIECE</a:t>
            </a:r>
            <a:endParaRPr lang="es-CO" sz="1400" b="1" i="0" baseline="0">
              <a:solidFill>
                <a:schemeClr val="bg1"/>
              </a:solidFill>
              <a:effectLst/>
              <a:latin typeface="PT Sans Narrow" panose="020B0506020203020204" pitchFamily="34" charset="0"/>
              <a:ea typeface="+mn-ea"/>
              <a:cs typeface="+mn-cs"/>
            </a:endParaRPr>
          </a:p>
          <a:p>
            <a:pPr algn="ctr"/>
            <a:r>
              <a:rPr lang="es-CO" sz="1400" b="1" i="0" baseline="0">
                <a:solidFill>
                  <a:schemeClr val="bg1"/>
                </a:solidFill>
                <a:effectLst/>
                <a:latin typeface="PT Sans Narrow" panose="020B0506020203020204" pitchFamily="34" charset="0"/>
                <a:ea typeface="+mn-ea"/>
                <a:cs typeface="+mn-cs"/>
              </a:rPr>
              <a:t>DE</a:t>
            </a:r>
          </a:p>
          <a:p>
            <a:pPr algn="ctr"/>
            <a:r>
              <a:rPr lang="es-CO" sz="1400" b="1" i="0" baseline="0">
                <a:solidFill>
                  <a:schemeClr val="bg1"/>
                </a:solidFill>
                <a:effectLst/>
                <a:latin typeface="PT Sans Narrow" panose="020B0506020203020204" pitchFamily="34" charset="0"/>
                <a:ea typeface="+mn-ea"/>
                <a:cs typeface="+mn-cs"/>
              </a:rPr>
              <a:t>MATERIAL</a:t>
            </a:r>
            <a:endParaRPr lang="es-CO" sz="1400" b="1">
              <a:solidFill>
                <a:schemeClr val="bg1"/>
              </a:solidFill>
              <a:latin typeface="PT Sans Narrow" panose="020B0506020203020204" pitchFamily="34" charset="0"/>
            </a:endParaRPr>
          </a:p>
        </xdr:txBody>
      </xdr:sp>
    </xdr:grpSp>
    <xdr:clientData/>
  </xdr:twoCellAnchor>
  <xdr:twoCellAnchor editAs="absolute">
    <xdr:from>
      <xdr:col>10</xdr:col>
      <xdr:colOff>572123</xdr:colOff>
      <xdr:row>0</xdr:row>
      <xdr:rowOff>35563</xdr:rowOff>
    </xdr:from>
    <xdr:to>
      <xdr:col>13</xdr:col>
      <xdr:colOff>115301</xdr:colOff>
      <xdr:row>5</xdr:row>
      <xdr:rowOff>32809</xdr:rowOff>
    </xdr:to>
    <xdr:grpSp>
      <xdr:nvGrpSpPr>
        <xdr:cNvPr id="3" name="FL">
          <a:extLst>
            <a:ext uri="{FF2B5EF4-FFF2-40B4-BE49-F238E27FC236}">
              <a16:creationId xmlns:a16="http://schemas.microsoft.com/office/drawing/2014/main" id="{00000000-0008-0000-0400-000003000000}"/>
            </a:ext>
          </a:extLst>
        </xdr:cNvPr>
        <xdr:cNvGrpSpPr>
          <a:grpSpLocks noChangeAspect="1"/>
        </xdr:cNvGrpSpPr>
      </xdr:nvGrpSpPr>
      <xdr:grpSpPr>
        <a:xfrm>
          <a:off x="8192123" y="35563"/>
          <a:ext cx="1900616" cy="949746"/>
          <a:chOff x="8192123" y="21166"/>
          <a:chExt cx="1885376" cy="963081"/>
        </a:xfrm>
      </xdr:grpSpPr>
      <xdr:sp macro="FL" textlink="">
        <xdr:nvSpPr>
          <xdr:cNvPr id="28" name="Pestaña FL">
            <a:extLst>
              <a:ext uri="{FF2B5EF4-FFF2-40B4-BE49-F238E27FC236}">
                <a16:creationId xmlns:a16="http://schemas.microsoft.com/office/drawing/2014/main" id="{00000000-0008-0000-0400-00001C000000}"/>
              </a:ext>
            </a:extLst>
          </xdr:cNvPr>
          <xdr:cNvSpPr/>
        </xdr:nvSpPr>
        <xdr:spPr>
          <a:xfrm flipH="1">
            <a:off x="8192123"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rgbClr val="2B2B62"/>
          </a:solidFill>
          <a:ln w="25400" cap="flat" cmpd="sng" algn="ctr">
            <a:solidFill>
              <a:schemeClr val="bg1">
                <a:lumMod val="100000"/>
              </a:schemeClr>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FL" textlink="">
        <xdr:nvSpPr>
          <xdr:cNvPr id="35" name="Texto FL">
            <a:extLst>
              <a:ext uri="{FF2B5EF4-FFF2-40B4-BE49-F238E27FC236}">
                <a16:creationId xmlns:a16="http://schemas.microsoft.com/office/drawing/2014/main" id="{00000000-0008-0000-0400-000023000000}"/>
              </a:ext>
            </a:extLst>
          </xdr:cNvPr>
          <xdr:cNvSpPr txBox="1"/>
        </xdr:nvSpPr>
        <xdr:spPr>
          <a:xfrm>
            <a:off x="8303559"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lumMod val="100000"/>
                  </a:schemeClr>
                </a:solidFill>
                <a:effectLst/>
                <a:latin typeface="PT Sans Narrow" panose="020B0506020203020204" pitchFamily="34" charset="0"/>
                <a:ea typeface="+mn-ea"/>
                <a:cs typeface="+mn-cs"/>
              </a:rPr>
              <a:t> FLOTACIÓN</a:t>
            </a:r>
            <a:endParaRPr lang="es-CO" sz="1400" b="1">
              <a:solidFill>
                <a:schemeClr val="bg1">
                  <a:lumMod val="100000"/>
                </a:schemeClr>
              </a:solidFill>
              <a:latin typeface="PT Sans Narrow" panose="020B0506020203020204" pitchFamily="34" charset="0"/>
            </a:endParaRPr>
          </a:p>
        </xdr:txBody>
      </xdr:sp>
    </xdr:grpSp>
    <xdr:clientData/>
  </xdr:twoCellAnchor>
  <xdr:twoCellAnchor editAs="absolute">
    <xdr:from>
      <xdr:col>8</xdr:col>
      <xdr:colOff>110760</xdr:colOff>
      <xdr:row>79</xdr:row>
      <xdr:rowOff>153125</xdr:rowOff>
    </xdr:from>
    <xdr:to>
      <xdr:col>14</xdr:col>
      <xdr:colOff>302896</xdr:colOff>
      <xdr:row>82</xdr:row>
      <xdr:rowOff>73250</xdr:rowOff>
    </xdr:to>
    <xdr:grpSp>
      <xdr:nvGrpSpPr>
        <xdr:cNvPr id="6" name="Dimensiones">
          <a:extLst>
            <a:ext uri="{FF2B5EF4-FFF2-40B4-BE49-F238E27FC236}">
              <a16:creationId xmlns:a16="http://schemas.microsoft.com/office/drawing/2014/main" id="{00000000-0008-0000-0400-000006000000}"/>
            </a:ext>
          </a:extLst>
        </xdr:cNvPr>
        <xdr:cNvGrpSpPr>
          <a:grpSpLocks noChangeAspect="1"/>
        </xdr:cNvGrpSpPr>
      </xdr:nvGrpSpPr>
      <xdr:grpSpPr>
        <a:xfrm flipH="1">
          <a:off x="6206760" y="15202625"/>
          <a:ext cx="4835574" cy="491625"/>
          <a:chOff x="4011081" y="14244208"/>
          <a:chExt cx="5217583" cy="525539"/>
        </a:xfrm>
      </xdr:grpSpPr>
      <xdr:sp macro="[0]!DFF" textlink="">
        <xdr:nvSpPr>
          <xdr:cNvPr id="15" name="Rectángulo: esquinas diagonales cortadas 14">
            <a:extLst>
              <a:ext uri="{FF2B5EF4-FFF2-40B4-BE49-F238E27FC236}">
                <a16:creationId xmlns:a16="http://schemas.microsoft.com/office/drawing/2014/main" id="{00000000-0008-0000-0400-00000F000000}"/>
              </a:ext>
            </a:extLst>
          </xdr:cNvPr>
          <xdr:cNvSpPr/>
        </xdr:nvSpPr>
        <xdr:spPr>
          <a:xfrm flipV="1">
            <a:off x="4011081" y="14319250"/>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DFF" textlink="">
        <xdr:nvSpPr>
          <xdr:cNvPr id="19" name="CuadroTexto 18">
            <a:extLst>
              <a:ext uri="{FF2B5EF4-FFF2-40B4-BE49-F238E27FC236}">
                <a16:creationId xmlns:a16="http://schemas.microsoft.com/office/drawing/2014/main" id="{00000000-0008-0000-0400-000013000000}"/>
              </a:ext>
            </a:extLst>
          </xdr:cNvPr>
          <xdr:cNvSpPr txBox="1"/>
        </xdr:nvSpPr>
        <xdr:spPr>
          <a:xfrm>
            <a:off x="4173014" y="14244208"/>
            <a:ext cx="4762500" cy="525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CO" sz="1100" b="1">
                <a:solidFill>
                  <a:schemeClr val="bg1"/>
                </a:solidFill>
                <a:latin typeface="PT Sans Narrow" panose="020B0506020203020204" pitchFamily="34" charset="0"/>
              </a:rPr>
              <a:t>Tipo de celda con la cual quieres dimensionar tu tanque. Para conocer las diferencias entre los tipos de celdas has clic aquí</a:t>
            </a:r>
          </a:p>
        </xdr:txBody>
      </xdr:sp>
    </xdr:grpSp>
    <xdr:clientData/>
  </xdr:twoCellAnchor>
  <xdr:twoCellAnchor editAs="absolute">
    <xdr:from>
      <xdr:col>15</xdr:col>
      <xdr:colOff>302895</xdr:colOff>
      <xdr:row>103</xdr:row>
      <xdr:rowOff>81916</xdr:rowOff>
    </xdr:from>
    <xdr:to>
      <xdr:col>17</xdr:col>
      <xdr:colOff>684018</xdr:colOff>
      <xdr:row>108</xdr:row>
      <xdr:rowOff>5930</xdr:rowOff>
    </xdr:to>
    <xdr:grpSp>
      <xdr:nvGrpSpPr>
        <xdr:cNvPr id="20" name="Boton Tablas">
          <a:extLst>
            <a:ext uri="{FF2B5EF4-FFF2-40B4-BE49-F238E27FC236}">
              <a16:creationId xmlns:a16="http://schemas.microsoft.com/office/drawing/2014/main" id="{00000000-0008-0000-0400-000014000000}"/>
            </a:ext>
          </a:extLst>
        </xdr:cNvPr>
        <xdr:cNvGrpSpPr>
          <a:grpSpLocks noChangeAspect="1"/>
        </xdr:cNvGrpSpPr>
      </xdr:nvGrpSpPr>
      <xdr:grpSpPr>
        <a:xfrm rot="5400000">
          <a:off x="12318638" y="19189111"/>
          <a:ext cx="876514" cy="1905123"/>
          <a:chOff x="1807006" y="1248832"/>
          <a:chExt cx="896222" cy="1397001"/>
        </a:xfrm>
      </xdr:grpSpPr>
      <xdr:sp macro="[0]!SUELOS" textlink="">
        <xdr:nvSpPr>
          <xdr:cNvPr id="21" name="Octágono 20">
            <a:extLst>
              <a:ext uri="{FF2B5EF4-FFF2-40B4-BE49-F238E27FC236}">
                <a16:creationId xmlns:a16="http://schemas.microsoft.com/office/drawing/2014/main" id="{00000000-0008-0000-0400-000015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SUELOS" textlink="">
        <xdr:nvSpPr>
          <xdr:cNvPr id="22" name="CuadroTexto 21">
            <a:extLst>
              <a:ext uri="{FF2B5EF4-FFF2-40B4-BE49-F238E27FC236}">
                <a16:creationId xmlns:a16="http://schemas.microsoft.com/office/drawing/2014/main" id="{00000000-0008-0000-0400-000016000000}"/>
              </a:ext>
            </a:extLst>
          </xdr:cNvPr>
          <xdr:cNvSpPr txBox="1"/>
        </xdr:nvSpPr>
        <xdr:spPr>
          <a:xfrm rot="16200000">
            <a:off x="1624662" y="1509383"/>
            <a:ext cx="1260910" cy="896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baseline="0">
                <a:solidFill>
                  <a:sysClr val="windowText" lastClr="000000"/>
                </a:solidFill>
                <a:latin typeface="PT Sans Narrow" panose="020B0506020203020204" pitchFamily="34" charset="0"/>
              </a:rPr>
              <a:t>Da clic acá para conocer diferentes valores recomendados para algunos tipos de suelo</a:t>
            </a:r>
            <a:endParaRPr lang="es-CO" sz="1100" b="1">
              <a:solidFill>
                <a:sysClr val="windowText" lastClr="000000"/>
              </a:solidFill>
              <a:latin typeface="PT Sans Narrow" panose="020B0506020203020204" pitchFamily="34" charset="0"/>
            </a:endParaRPr>
          </a:p>
        </xdr:txBody>
      </xdr:sp>
    </xdr:grpSp>
    <xdr:clientData/>
  </xdr:twoCellAnchor>
  <xdr:twoCellAnchor editAs="absolute">
    <xdr:from>
      <xdr:col>15</xdr:col>
      <xdr:colOff>302895</xdr:colOff>
      <xdr:row>109</xdr:row>
      <xdr:rowOff>5718</xdr:rowOff>
    </xdr:from>
    <xdr:to>
      <xdr:col>17</xdr:col>
      <xdr:colOff>684018</xdr:colOff>
      <xdr:row>113</xdr:row>
      <xdr:rowOff>120232</xdr:rowOff>
    </xdr:to>
    <xdr:grpSp>
      <xdr:nvGrpSpPr>
        <xdr:cNvPr id="23" name="Boton Tablas">
          <a:extLst>
            <a:ext uri="{FF2B5EF4-FFF2-40B4-BE49-F238E27FC236}">
              <a16:creationId xmlns:a16="http://schemas.microsoft.com/office/drawing/2014/main" id="{00000000-0008-0000-0400-000017000000}"/>
            </a:ext>
          </a:extLst>
        </xdr:cNvPr>
        <xdr:cNvGrpSpPr>
          <a:grpSpLocks noChangeAspect="1"/>
        </xdr:cNvGrpSpPr>
      </xdr:nvGrpSpPr>
      <xdr:grpSpPr>
        <a:xfrm rot="5400000">
          <a:off x="12318638" y="20255913"/>
          <a:ext cx="876514" cy="1905123"/>
          <a:chOff x="1807006" y="1248832"/>
          <a:chExt cx="896222" cy="1397001"/>
        </a:xfrm>
      </xdr:grpSpPr>
      <xdr:sp macro="[0]!TRAFICO" textlink="">
        <xdr:nvSpPr>
          <xdr:cNvPr id="29" name="Octágono 28">
            <a:extLst>
              <a:ext uri="{FF2B5EF4-FFF2-40B4-BE49-F238E27FC236}">
                <a16:creationId xmlns:a16="http://schemas.microsoft.com/office/drawing/2014/main" id="{00000000-0008-0000-0400-00001D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TRAFICO" textlink="">
        <xdr:nvSpPr>
          <xdr:cNvPr id="30" name="CuadroTexto 29">
            <a:extLst>
              <a:ext uri="{FF2B5EF4-FFF2-40B4-BE49-F238E27FC236}">
                <a16:creationId xmlns:a16="http://schemas.microsoft.com/office/drawing/2014/main" id="{00000000-0008-0000-0400-00001E000000}"/>
              </a:ext>
            </a:extLst>
          </xdr:cNvPr>
          <xdr:cNvSpPr txBox="1"/>
        </xdr:nvSpPr>
        <xdr:spPr>
          <a:xfrm rot="16200000">
            <a:off x="1624662" y="1509383"/>
            <a:ext cx="1260910" cy="896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baseline="0">
                <a:solidFill>
                  <a:sysClr val="windowText" lastClr="000000"/>
                </a:solidFill>
                <a:latin typeface="PT Sans Narrow" panose="020B0506020203020204" pitchFamily="34" charset="0"/>
              </a:rPr>
              <a:t>Para saber los distintos tipos de cargas aproximadas en camiones. Da clic acá</a:t>
            </a:r>
            <a:endParaRPr lang="es-CO" sz="1100" b="1">
              <a:solidFill>
                <a:sysClr val="windowText" lastClr="000000"/>
              </a:solidFill>
              <a:latin typeface="PT Sans Narrow" panose="020B0506020203020204" pitchFamily="34" charset="0"/>
            </a:endParaRPr>
          </a:p>
        </xdr:txBody>
      </xdr:sp>
    </xdr:grpSp>
    <xdr:clientData/>
  </xdr:twoCellAnchor>
  <xdr:twoCellAnchor editAs="absolute">
    <xdr:from>
      <xdr:col>8</xdr:col>
      <xdr:colOff>555422</xdr:colOff>
      <xdr:row>0</xdr:row>
      <xdr:rowOff>35563</xdr:rowOff>
    </xdr:from>
    <xdr:to>
      <xdr:col>11</xdr:col>
      <xdr:colOff>213422</xdr:colOff>
      <xdr:row>5</xdr:row>
      <xdr:rowOff>32809</xdr:rowOff>
    </xdr:to>
    <xdr:grpSp>
      <xdr:nvGrpSpPr>
        <xdr:cNvPr id="4" name="INF">
          <a:extLst>
            <a:ext uri="{FF2B5EF4-FFF2-40B4-BE49-F238E27FC236}">
              <a16:creationId xmlns:a16="http://schemas.microsoft.com/office/drawing/2014/main" id="{00000000-0008-0000-0400-000004000000}"/>
            </a:ext>
          </a:extLst>
        </xdr:cNvPr>
        <xdr:cNvGrpSpPr>
          <a:grpSpLocks noChangeAspect="1"/>
        </xdr:cNvGrpSpPr>
      </xdr:nvGrpSpPr>
      <xdr:grpSpPr>
        <a:xfrm>
          <a:off x="6651422" y="35563"/>
          <a:ext cx="1944000" cy="949746"/>
          <a:chOff x="6630076" y="21166"/>
          <a:chExt cx="1959841" cy="963081"/>
        </a:xfrm>
      </xdr:grpSpPr>
      <xdr:sp macro="INF" textlink="">
        <xdr:nvSpPr>
          <xdr:cNvPr id="27" name="Pestaña INF">
            <a:extLst>
              <a:ext uri="{FF2B5EF4-FFF2-40B4-BE49-F238E27FC236}">
                <a16:creationId xmlns:a16="http://schemas.microsoft.com/office/drawing/2014/main" id="{00000000-0008-0000-0400-00001B000000}"/>
              </a:ext>
            </a:extLst>
          </xdr:cNvPr>
          <xdr:cNvSpPr/>
        </xdr:nvSpPr>
        <xdr:spPr>
          <a:xfrm flipH="1">
            <a:off x="6630076" y="21166"/>
            <a:ext cx="1959841"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rgbClr val="2B2B62"/>
          </a:solidFill>
          <a:ln w="25400" cap="flat" cmpd="sng" algn="ctr">
            <a:solidFill>
              <a:schemeClr val="bg1">
                <a:lumMod val="100000"/>
              </a:schemeClr>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INF" textlink="">
        <xdr:nvSpPr>
          <xdr:cNvPr id="34" name="Texto INF">
            <a:extLst>
              <a:ext uri="{FF2B5EF4-FFF2-40B4-BE49-F238E27FC236}">
                <a16:creationId xmlns:a16="http://schemas.microsoft.com/office/drawing/2014/main" id="{00000000-0008-0000-0400-000022000000}"/>
              </a:ext>
            </a:extLst>
          </xdr:cNvPr>
          <xdr:cNvSpPr txBox="1"/>
        </xdr:nvSpPr>
        <xdr:spPr>
          <a:xfrm>
            <a:off x="6784687"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lumMod val="100000"/>
                  </a:schemeClr>
                </a:solidFill>
                <a:effectLst/>
                <a:latin typeface="PT Sans Narrow" panose="020B0506020203020204" pitchFamily="34" charset="0"/>
                <a:ea typeface="+mn-ea"/>
                <a:cs typeface="+mn-cs"/>
              </a:rPr>
              <a:t> INFILTRACIÓN</a:t>
            </a:r>
            <a:endParaRPr lang="es-CO" sz="1400" b="1">
              <a:solidFill>
                <a:schemeClr val="bg1">
                  <a:lumMod val="100000"/>
                </a:schemeClr>
              </a:solidFill>
              <a:latin typeface="PT Sans Narrow" panose="020B0506020203020204" pitchFamily="34" charset="0"/>
            </a:endParaRPr>
          </a:p>
        </xdr:txBody>
      </xdr:sp>
    </xdr:grpSp>
    <xdr:clientData/>
  </xdr:twoCellAnchor>
  <xdr:twoCellAnchor editAs="absolute">
    <xdr:from>
      <xdr:col>6</xdr:col>
      <xdr:colOff>606003</xdr:colOff>
      <xdr:row>0</xdr:row>
      <xdr:rowOff>35563</xdr:rowOff>
    </xdr:from>
    <xdr:to>
      <xdr:col>9</xdr:col>
      <xdr:colOff>192044</xdr:colOff>
      <xdr:row>5</xdr:row>
      <xdr:rowOff>32809</xdr:rowOff>
    </xdr:to>
    <xdr:grpSp>
      <xdr:nvGrpSpPr>
        <xdr:cNvPr id="12" name="TDV">
          <a:extLst>
            <a:ext uri="{FF2B5EF4-FFF2-40B4-BE49-F238E27FC236}">
              <a16:creationId xmlns:a16="http://schemas.microsoft.com/office/drawing/2014/main" id="{00000000-0008-0000-0400-00000C000000}"/>
            </a:ext>
          </a:extLst>
        </xdr:cNvPr>
        <xdr:cNvGrpSpPr>
          <a:grpSpLocks noChangeAspect="1"/>
        </xdr:cNvGrpSpPr>
      </xdr:nvGrpSpPr>
      <xdr:grpSpPr>
        <a:xfrm>
          <a:off x="5178003" y="35563"/>
          <a:ext cx="1872041" cy="949746"/>
          <a:chOff x="5164668" y="21166"/>
          <a:chExt cx="1885376" cy="963081"/>
        </a:xfrm>
      </xdr:grpSpPr>
      <xdr:sp macro="TDV" textlink="">
        <xdr:nvSpPr>
          <xdr:cNvPr id="26" name="Pestaña TDV">
            <a:extLst>
              <a:ext uri="{FF2B5EF4-FFF2-40B4-BE49-F238E27FC236}">
                <a16:creationId xmlns:a16="http://schemas.microsoft.com/office/drawing/2014/main" id="{00000000-0008-0000-0400-00001A000000}"/>
              </a:ext>
            </a:extLst>
          </xdr:cNvPr>
          <xdr:cNvSpPr/>
        </xdr:nvSpPr>
        <xdr:spPr>
          <a:xfrm flipH="1">
            <a:off x="5164668"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rgbClr val="2B2B62"/>
          </a:solidFill>
          <a:ln w="25400" cap="flat" cmpd="sng" algn="ctr">
            <a:solidFill>
              <a:schemeClr val="bg1">
                <a:lumMod val="100000"/>
              </a:schemeClr>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TDV" textlink="">
        <xdr:nvSpPr>
          <xdr:cNvPr id="32" name="Texto TDV">
            <a:extLst>
              <a:ext uri="{FF2B5EF4-FFF2-40B4-BE49-F238E27FC236}">
                <a16:creationId xmlns:a16="http://schemas.microsoft.com/office/drawing/2014/main" id="{00000000-0008-0000-0400-000020000000}"/>
              </a:ext>
            </a:extLst>
          </xdr:cNvPr>
          <xdr:cNvSpPr txBox="1"/>
        </xdr:nvSpPr>
        <xdr:spPr>
          <a:xfrm>
            <a:off x="5311589" y="106456"/>
            <a:ext cx="1568823" cy="818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lumMod val="100000"/>
                  </a:schemeClr>
                </a:solidFill>
                <a:effectLst/>
                <a:latin typeface="PT Sans Narrow" panose="020B0506020203020204" pitchFamily="34" charset="0"/>
                <a:ea typeface="+mn-ea"/>
                <a:cs typeface="+mn-cs"/>
              </a:rPr>
              <a:t>TIEMPO</a:t>
            </a:r>
            <a:endParaRPr lang="es-CO" sz="1400" b="1" i="0" baseline="0">
              <a:solidFill>
                <a:schemeClr val="bg1">
                  <a:lumMod val="100000"/>
                </a:schemeClr>
              </a:solidFill>
              <a:effectLst/>
              <a:latin typeface="PT Sans Narrow" panose="020B0506020203020204" pitchFamily="34" charset="0"/>
              <a:ea typeface="+mn-ea"/>
              <a:cs typeface="+mn-cs"/>
            </a:endParaRPr>
          </a:p>
          <a:p>
            <a:pPr algn="ctr"/>
            <a:r>
              <a:rPr lang="es-CO" sz="1400" b="1" i="0" baseline="0">
                <a:solidFill>
                  <a:schemeClr val="bg1">
                    <a:lumMod val="100000"/>
                  </a:schemeClr>
                </a:solidFill>
                <a:effectLst/>
                <a:latin typeface="PT Sans Narrow" panose="020B0506020203020204" pitchFamily="34" charset="0"/>
                <a:ea typeface="+mn-ea"/>
                <a:cs typeface="+mn-cs"/>
              </a:rPr>
              <a:t>DE</a:t>
            </a:r>
          </a:p>
          <a:p>
            <a:pPr algn="ctr"/>
            <a:r>
              <a:rPr lang="es-CO" sz="1400" b="1" i="0" baseline="0">
                <a:solidFill>
                  <a:schemeClr val="bg1">
                    <a:lumMod val="100000"/>
                  </a:schemeClr>
                </a:solidFill>
                <a:effectLst/>
                <a:latin typeface="PT Sans Narrow" panose="020B0506020203020204" pitchFamily="34" charset="0"/>
                <a:ea typeface="+mn-ea"/>
                <a:cs typeface="+mn-cs"/>
              </a:rPr>
              <a:t>VACIADO</a:t>
            </a:r>
            <a:endParaRPr lang="es-CO" sz="1400" b="1">
              <a:solidFill>
                <a:schemeClr val="bg1">
                  <a:lumMod val="100000"/>
                </a:schemeClr>
              </a:solidFill>
              <a:latin typeface="PT Sans Narrow" panose="020B0506020203020204" pitchFamily="34" charset="0"/>
            </a:endParaRPr>
          </a:p>
        </xdr:txBody>
      </xdr:sp>
    </xdr:grpSp>
    <xdr:clientData/>
  </xdr:twoCellAnchor>
  <xdr:twoCellAnchor editAs="absolute">
    <xdr:from>
      <xdr:col>4</xdr:col>
      <xdr:colOff>705494</xdr:colOff>
      <xdr:row>0</xdr:row>
      <xdr:rowOff>16642</xdr:rowOff>
    </xdr:from>
    <xdr:to>
      <xdr:col>7</xdr:col>
      <xdr:colOff>287178</xdr:colOff>
      <xdr:row>5</xdr:row>
      <xdr:rowOff>51730</xdr:rowOff>
    </xdr:to>
    <xdr:grpSp>
      <xdr:nvGrpSpPr>
        <xdr:cNvPr id="11" name="D">
          <a:extLst>
            <a:ext uri="{FF2B5EF4-FFF2-40B4-BE49-F238E27FC236}">
              <a16:creationId xmlns:a16="http://schemas.microsoft.com/office/drawing/2014/main" id="{00000000-0008-0000-0400-00000B000000}"/>
            </a:ext>
          </a:extLst>
        </xdr:cNvPr>
        <xdr:cNvGrpSpPr>
          <a:grpSpLocks noChangeAspect="1"/>
        </xdr:cNvGrpSpPr>
      </xdr:nvGrpSpPr>
      <xdr:grpSpPr>
        <a:xfrm>
          <a:off x="3753494" y="16642"/>
          <a:ext cx="1867684" cy="987588"/>
          <a:chOff x="3753970" y="21167"/>
          <a:chExt cx="1865779" cy="976158"/>
        </a:xfrm>
      </xdr:grpSpPr>
      <xdr:sp macro="" textlink="">
        <xdr:nvSpPr>
          <xdr:cNvPr id="24" name="Pestaña D">
            <a:extLst>
              <a:ext uri="{FF2B5EF4-FFF2-40B4-BE49-F238E27FC236}">
                <a16:creationId xmlns:a16="http://schemas.microsoft.com/office/drawing/2014/main" id="{00000000-0008-0000-0400-000018000000}"/>
              </a:ext>
            </a:extLst>
          </xdr:cNvPr>
          <xdr:cNvSpPr/>
        </xdr:nvSpPr>
        <xdr:spPr>
          <a:xfrm>
            <a:off x="3810000" y="21167"/>
            <a:ext cx="1809749" cy="976158"/>
          </a:xfrm>
          <a:custGeom>
            <a:avLst/>
            <a:gdLst>
              <a:gd name="connsiteX0" fmla="*/ 289766 w 1739654"/>
              <a:gd name="connsiteY0" fmla="*/ 0 h 857912"/>
              <a:gd name="connsiteX1" fmla="*/ 1153172 w 1739654"/>
              <a:gd name="connsiteY1" fmla="*/ 0 h 857912"/>
              <a:gd name="connsiteX2" fmla="*/ 1171726 w 1739654"/>
              <a:gd name="connsiteY2" fmla="*/ 1871 h 857912"/>
              <a:gd name="connsiteX3" fmla="*/ 1448928 w 1739654"/>
              <a:gd name="connsiteY3" fmla="*/ 279073 h 857912"/>
              <a:gd name="connsiteX4" fmla="*/ 1449888 w 1739654"/>
              <a:gd name="connsiteY4" fmla="*/ 288599 h 857912"/>
              <a:gd name="connsiteX5" fmla="*/ 1449888 w 1739654"/>
              <a:gd name="connsiteY5" fmla="*/ 568146 h 857912"/>
              <a:gd name="connsiteX6" fmla="*/ 1739654 w 1739654"/>
              <a:gd name="connsiteY6" fmla="*/ 857912 h 857912"/>
              <a:gd name="connsiteX7" fmla="*/ 352308 w 1739654"/>
              <a:gd name="connsiteY7" fmla="*/ 857912 h 857912"/>
              <a:gd name="connsiteX8" fmla="*/ 0 w 1739654"/>
              <a:gd name="connsiteY8" fmla="*/ 857912 h 857912"/>
              <a:gd name="connsiteX9" fmla="*/ 0 w 1739654"/>
              <a:gd name="connsiteY9" fmla="*/ 289766 h 857912"/>
              <a:gd name="connsiteX10" fmla="*/ 289766 w 1739654"/>
              <a:gd name="connsiteY10" fmla="*/ 0 h 857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39654" h="857912">
                <a:moveTo>
                  <a:pt x="289766" y="0"/>
                </a:moveTo>
                <a:lnTo>
                  <a:pt x="1153172" y="0"/>
                </a:lnTo>
                <a:lnTo>
                  <a:pt x="1171726" y="1871"/>
                </a:lnTo>
                <a:cubicBezTo>
                  <a:pt x="1310865" y="30343"/>
                  <a:pt x="1420456" y="139933"/>
                  <a:pt x="1448928" y="279073"/>
                </a:cubicBezTo>
                <a:lnTo>
                  <a:pt x="1449888" y="288599"/>
                </a:lnTo>
                <a:lnTo>
                  <a:pt x="1449888" y="568146"/>
                </a:lnTo>
                <a:cubicBezTo>
                  <a:pt x="1449888" y="728179"/>
                  <a:pt x="1579621" y="857912"/>
                  <a:pt x="1739654" y="857912"/>
                </a:cubicBezTo>
                <a:lnTo>
                  <a:pt x="352308" y="857912"/>
                </a:lnTo>
                <a:lnTo>
                  <a:pt x="0" y="857912"/>
                </a:lnTo>
                <a:lnTo>
                  <a:pt x="0" y="289766"/>
                </a:lnTo>
                <a:cubicBezTo>
                  <a:pt x="0" y="129733"/>
                  <a:pt x="129733" y="0"/>
                  <a:pt x="289766" y="0"/>
                </a:cubicBezTo>
                <a:close/>
              </a:path>
            </a:pathLst>
          </a:cu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31" name="Texto D">
            <a:extLst>
              <a:ext uri="{FF2B5EF4-FFF2-40B4-BE49-F238E27FC236}">
                <a16:creationId xmlns:a16="http://schemas.microsoft.com/office/drawing/2014/main" id="{00000000-0008-0000-0400-00001F000000}"/>
              </a:ext>
            </a:extLst>
          </xdr:cNvPr>
          <xdr:cNvSpPr txBox="1"/>
        </xdr:nvSpPr>
        <xdr:spPr>
          <a:xfrm>
            <a:off x="3753970"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rgbClr val="00B050"/>
                </a:solidFill>
                <a:effectLst/>
                <a:latin typeface="PT Sans Narrow" panose="020B0506020203020204" pitchFamily="34" charset="0"/>
                <a:ea typeface="+mn-ea"/>
                <a:cs typeface="+mn-cs"/>
              </a:rPr>
              <a:t>DIMENSIONAMIENTO</a:t>
            </a:r>
            <a:endParaRPr lang="es-CO" sz="1400" b="1">
              <a:solidFill>
                <a:srgbClr val="00B050"/>
              </a:solidFill>
              <a:latin typeface="PT Sans Narrow" panose="020B0506020203020204"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4</xdr:col>
      <xdr:colOff>746509</xdr:colOff>
      <xdr:row>95</xdr:row>
      <xdr:rowOff>167919</xdr:rowOff>
    </xdr:from>
    <xdr:to>
      <xdr:col>15</xdr:col>
      <xdr:colOff>3111</xdr:colOff>
      <xdr:row>97</xdr:row>
      <xdr:rowOff>137089</xdr:rowOff>
    </xdr:to>
    <xdr:sp macro="" textlink="">
      <xdr:nvSpPr>
        <xdr:cNvPr id="2" name="Forma libre: forma 1">
          <a:extLst>
            <a:ext uri="{FF2B5EF4-FFF2-40B4-BE49-F238E27FC236}">
              <a16:creationId xmlns:a16="http://schemas.microsoft.com/office/drawing/2014/main" id="{00000000-0008-0000-0500-000002000000}"/>
            </a:ext>
          </a:extLst>
        </xdr:cNvPr>
        <xdr:cNvSpPr>
          <a:spLocks noChangeAspect="1"/>
        </xdr:cNvSpPr>
      </xdr:nvSpPr>
      <xdr:spPr>
        <a:xfrm>
          <a:off x="3796414" y="18259704"/>
          <a:ext cx="7642412" cy="363505"/>
        </a:xfrm>
        <a:custGeom>
          <a:avLst/>
          <a:gdLst>
            <a:gd name="connsiteX0" fmla="*/ 0 w 6890994"/>
            <a:gd name="connsiteY0" fmla="*/ 0 h 363505"/>
            <a:gd name="connsiteX1" fmla="*/ 6890994 w 6890994"/>
            <a:gd name="connsiteY1" fmla="*/ 0 h 363505"/>
            <a:gd name="connsiteX2" fmla="*/ 6890994 w 6890994"/>
            <a:gd name="connsiteY2" fmla="*/ 73702 h 363505"/>
            <a:gd name="connsiteX3" fmla="*/ 6601228 w 6890994"/>
            <a:gd name="connsiteY3" fmla="*/ 363505 h 363505"/>
            <a:gd name="connsiteX4" fmla="*/ 289766 w 6890994"/>
            <a:gd name="connsiteY4" fmla="*/ 363505 h 363505"/>
            <a:gd name="connsiteX5" fmla="*/ 0 w 6890994"/>
            <a:gd name="connsiteY5" fmla="*/ 73702 h 3635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890994" h="363505">
              <a:moveTo>
                <a:pt x="0" y="0"/>
              </a:moveTo>
              <a:lnTo>
                <a:pt x="6890994" y="0"/>
              </a:lnTo>
              <a:lnTo>
                <a:pt x="6890994" y="73702"/>
              </a:lnTo>
              <a:cubicBezTo>
                <a:pt x="6890994" y="233755"/>
                <a:pt x="6761261" y="363505"/>
                <a:pt x="6601228" y="363505"/>
              </a:cubicBezTo>
              <a:lnTo>
                <a:pt x="289766" y="363505"/>
              </a:lnTo>
              <a:cubicBezTo>
                <a:pt x="129733" y="363505"/>
                <a:pt x="0" y="233755"/>
                <a:pt x="0" y="73702"/>
              </a:cubicBezTo>
              <a:close/>
            </a:path>
          </a:pathLst>
        </a:cu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clientData/>
  </xdr:twoCellAnchor>
  <xdr:twoCellAnchor editAs="absolute">
    <xdr:from>
      <xdr:col>4</xdr:col>
      <xdr:colOff>758413</xdr:colOff>
      <xdr:row>97</xdr:row>
      <xdr:rowOff>3208</xdr:rowOff>
    </xdr:from>
    <xdr:to>
      <xdr:col>15</xdr:col>
      <xdr:colOff>3585</xdr:colOff>
      <xdr:row>98</xdr:row>
      <xdr:rowOff>174308</xdr:rowOff>
    </xdr:to>
    <xdr:sp macro="" textlink="">
      <xdr:nvSpPr>
        <xdr:cNvPr id="3" name="Forma libre: forma 2">
          <a:extLst>
            <a:ext uri="{FF2B5EF4-FFF2-40B4-BE49-F238E27FC236}">
              <a16:creationId xmlns:a16="http://schemas.microsoft.com/office/drawing/2014/main" id="{00000000-0008-0000-0500-000003000000}"/>
            </a:ext>
          </a:extLst>
        </xdr:cNvPr>
        <xdr:cNvSpPr>
          <a:spLocks noChangeAspect="1"/>
        </xdr:cNvSpPr>
      </xdr:nvSpPr>
      <xdr:spPr>
        <a:xfrm>
          <a:off x="3798793" y="18481708"/>
          <a:ext cx="7642412" cy="353980"/>
        </a:xfrm>
        <a:custGeom>
          <a:avLst/>
          <a:gdLst>
            <a:gd name="connsiteX0" fmla="*/ 0 w 6890994"/>
            <a:gd name="connsiteY0" fmla="*/ 0 h 363505"/>
            <a:gd name="connsiteX1" fmla="*/ 6890994 w 6890994"/>
            <a:gd name="connsiteY1" fmla="*/ 0 h 363505"/>
            <a:gd name="connsiteX2" fmla="*/ 6890994 w 6890994"/>
            <a:gd name="connsiteY2" fmla="*/ 73702 h 363505"/>
            <a:gd name="connsiteX3" fmla="*/ 6601228 w 6890994"/>
            <a:gd name="connsiteY3" fmla="*/ 363505 h 363505"/>
            <a:gd name="connsiteX4" fmla="*/ 289766 w 6890994"/>
            <a:gd name="connsiteY4" fmla="*/ 363505 h 363505"/>
            <a:gd name="connsiteX5" fmla="*/ 0 w 6890994"/>
            <a:gd name="connsiteY5" fmla="*/ 73702 h 3635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890994" h="363505">
              <a:moveTo>
                <a:pt x="0" y="0"/>
              </a:moveTo>
              <a:lnTo>
                <a:pt x="6890994" y="0"/>
              </a:lnTo>
              <a:lnTo>
                <a:pt x="6890994" y="73702"/>
              </a:lnTo>
              <a:cubicBezTo>
                <a:pt x="6890994" y="233755"/>
                <a:pt x="6761261" y="363505"/>
                <a:pt x="6601228" y="363505"/>
              </a:cubicBezTo>
              <a:lnTo>
                <a:pt x="289766" y="363505"/>
              </a:lnTo>
              <a:cubicBezTo>
                <a:pt x="129733" y="363505"/>
                <a:pt x="0" y="233755"/>
                <a:pt x="0" y="73702"/>
              </a:cubicBezTo>
              <a:close/>
            </a:path>
          </a:pathLst>
        </a:cu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clientData/>
  </xdr:twoCellAnchor>
  <xdr:twoCellAnchor editAs="absolute">
    <xdr:from>
      <xdr:col>15</xdr:col>
      <xdr:colOff>669637</xdr:colOff>
      <xdr:row>94</xdr:row>
      <xdr:rowOff>79522</xdr:rowOff>
    </xdr:from>
    <xdr:to>
      <xdr:col>17</xdr:col>
      <xdr:colOff>873359</xdr:colOff>
      <xdr:row>98</xdr:row>
      <xdr:rowOff>114894</xdr:rowOff>
    </xdr:to>
    <xdr:pic>
      <xdr:nvPicPr>
        <xdr:cNvPr id="8" name="Orbia Logo" descr="Pavco">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1067" y="17990332"/>
          <a:ext cx="1701052" cy="793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136742</xdr:colOff>
      <xdr:row>95</xdr:row>
      <xdr:rowOff>187059</xdr:rowOff>
    </xdr:from>
    <xdr:to>
      <xdr:col>2</xdr:col>
      <xdr:colOff>511162</xdr:colOff>
      <xdr:row>97</xdr:row>
      <xdr:rowOff>148914</xdr:rowOff>
    </xdr:to>
    <xdr:pic>
      <xdr:nvPicPr>
        <xdr:cNvPr id="9" name="LinkedIn">
          <a:hlinkClick xmlns:r="http://schemas.openxmlformats.org/officeDocument/2006/relationships" r:id="rId2"/>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72172" y="18265509"/>
          <a:ext cx="351560" cy="350475"/>
        </a:xfrm>
        <a:prstGeom prst="rect">
          <a:avLst/>
        </a:prstGeom>
      </xdr:spPr>
    </xdr:pic>
    <xdr:clientData/>
  </xdr:twoCellAnchor>
  <xdr:twoCellAnchor editAs="absolute">
    <xdr:from>
      <xdr:col>0</xdr:col>
      <xdr:colOff>403229</xdr:colOff>
      <xdr:row>95</xdr:row>
      <xdr:rowOff>187059</xdr:rowOff>
    </xdr:from>
    <xdr:to>
      <xdr:col>1</xdr:col>
      <xdr:colOff>1405</xdr:colOff>
      <xdr:row>97</xdr:row>
      <xdr:rowOff>148914</xdr:rowOff>
    </xdr:to>
    <xdr:pic>
      <xdr:nvPicPr>
        <xdr:cNvPr id="11" name="Facebook">
          <a:hlinkClick xmlns:r="http://schemas.openxmlformats.org/officeDocument/2006/relationships" r:id="rId4"/>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2754" y="18265509"/>
          <a:ext cx="350651" cy="350475"/>
        </a:xfrm>
        <a:prstGeom prst="rect">
          <a:avLst/>
        </a:prstGeom>
      </xdr:spPr>
    </xdr:pic>
    <xdr:clientData/>
  </xdr:twoCellAnchor>
  <xdr:twoCellAnchor editAs="absolute">
    <xdr:from>
      <xdr:col>0</xdr:col>
      <xdr:colOff>0</xdr:colOff>
      <xdr:row>75</xdr:row>
      <xdr:rowOff>111078</xdr:rowOff>
    </xdr:from>
    <xdr:to>
      <xdr:col>4</xdr:col>
      <xdr:colOff>300990</xdr:colOff>
      <xdr:row>95</xdr:row>
      <xdr:rowOff>186753</xdr:rowOff>
    </xdr:to>
    <xdr:sp macro="" textlink="">
      <xdr:nvSpPr>
        <xdr:cNvPr id="12" name="Info Pavco">
          <a:extLst>
            <a:ext uri="{FF2B5EF4-FFF2-40B4-BE49-F238E27FC236}">
              <a16:creationId xmlns:a16="http://schemas.microsoft.com/office/drawing/2014/main" id="{00000000-0008-0000-0500-00000C000000}"/>
            </a:ext>
          </a:extLst>
        </xdr:cNvPr>
        <xdr:cNvSpPr txBox="1">
          <a:spLocks noChangeAspect="1"/>
        </xdr:cNvSpPr>
      </xdr:nvSpPr>
      <xdr:spPr>
        <a:xfrm>
          <a:off x="0" y="14381433"/>
          <a:ext cx="3333750" cy="389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i="0">
              <a:solidFill>
                <a:schemeClr val="bg1"/>
              </a:solidFill>
              <a:effectLst/>
              <a:latin typeface="PT Sans Narrow" panose="020B0506020203020204" pitchFamily="34" charset="0"/>
              <a:ea typeface="+mn-ea"/>
              <a:cs typeface="+mn-cs"/>
            </a:rPr>
            <a:t>Bogotá: Autopista Sur # 71-75.</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(601) 782 5000 Ext.:1101 Fax: +57 (601) 782 5020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Cali: Calle 64 Norte 5BN 46. Oficina R01, Centro Empresa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(602) 829 8969 EXT 2809</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Bucaramanga: Calle 30 # 22-129 Oficina 1802, Floridablanca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+57 314 330 2331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Barranquilla: Conmutador: +57 (605) 375 8100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0041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Itagüí - Antioquia: Calle 27 # 41-80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(604) 325 6660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Eje Cafetero: Carrera 17 # 5-58 Oficina 304 , Pereira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0025</a:t>
          </a:r>
          <a:endParaRPr lang="es-CO" sz="1200" b="1">
            <a:solidFill>
              <a:schemeClr val="bg1"/>
            </a:solidFill>
            <a:latin typeface="PT Sans Narrow" panose="020B0506020203020204" pitchFamily="34" charset="0"/>
          </a:endParaRPr>
        </a:p>
      </xdr:txBody>
    </xdr:sp>
    <xdr:clientData/>
  </xdr:twoCellAnchor>
  <xdr:twoCellAnchor editAs="absolute">
    <xdr:from>
      <xdr:col>17</xdr:col>
      <xdr:colOff>34696</xdr:colOff>
      <xdr:row>87</xdr:row>
      <xdr:rowOff>149309</xdr:rowOff>
    </xdr:from>
    <xdr:to>
      <xdr:col>17</xdr:col>
      <xdr:colOff>987003</xdr:colOff>
      <xdr:row>94</xdr:row>
      <xdr:rowOff>15781</xdr:rowOff>
    </xdr:to>
    <xdr:grpSp>
      <xdr:nvGrpSpPr>
        <xdr:cNvPr id="14" name="Boton Datos de Proy Down">
          <a:extLst>
            <a:ext uri="{FF2B5EF4-FFF2-40B4-BE49-F238E27FC236}">
              <a16:creationId xmlns:a16="http://schemas.microsoft.com/office/drawing/2014/main" id="{00000000-0008-0000-0500-00000E000000}"/>
            </a:ext>
          </a:extLst>
        </xdr:cNvPr>
        <xdr:cNvGrpSpPr>
          <a:grpSpLocks noChangeAspect="1"/>
        </xdr:cNvGrpSpPr>
      </xdr:nvGrpSpPr>
      <xdr:grpSpPr>
        <a:xfrm>
          <a:off x="12988696" y="16722809"/>
          <a:ext cx="952307" cy="1199972"/>
          <a:chOff x="1725407" y="1124918"/>
          <a:chExt cx="1048614" cy="1520915"/>
        </a:xfrm>
      </xdr:grpSpPr>
      <xdr:sp macro="[0]!Volver_Datos_Proy" textlink="">
        <xdr:nvSpPr>
          <xdr:cNvPr id="15" name="Octágono 14">
            <a:extLst>
              <a:ext uri="{FF2B5EF4-FFF2-40B4-BE49-F238E27FC236}">
                <a16:creationId xmlns:a16="http://schemas.microsoft.com/office/drawing/2014/main" id="{00000000-0008-0000-0500-00000F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Volver_Datos_Proy" textlink="">
        <xdr:nvSpPr>
          <xdr:cNvPr id="16" name="CuadroTexto 15">
            <a:extLst>
              <a:ext uri="{FF2B5EF4-FFF2-40B4-BE49-F238E27FC236}">
                <a16:creationId xmlns:a16="http://schemas.microsoft.com/office/drawing/2014/main" id="{00000000-0008-0000-0500-000010000000}"/>
              </a:ext>
            </a:extLst>
          </xdr:cNvPr>
          <xdr:cNvSpPr txBox="1"/>
        </xdr:nvSpPr>
        <xdr:spPr>
          <a:xfrm>
            <a:off x="1725407" y="1124918"/>
            <a:ext cx="1048614" cy="1021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DATOS DE PROYECTO</a:t>
            </a:r>
          </a:p>
        </xdr:txBody>
      </xdr:sp>
      <xdr:pic macro="[0]!Volver_Datos_Proy">
        <xdr:nvPicPr>
          <xdr:cNvPr id="17" name="Imagen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twoCellAnchor editAs="absolute">
    <xdr:from>
      <xdr:col>3</xdr:col>
      <xdr:colOff>383967</xdr:colOff>
      <xdr:row>76</xdr:row>
      <xdr:rowOff>98938</xdr:rowOff>
    </xdr:from>
    <xdr:to>
      <xdr:col>10</xdr:col>
      <xdr:colOff>708240</xdr:colOff>
      <xdr:row>78</xdr:row>
      <xdr:rowOff>110580</xdr:rowOff>
    </xdr:to>
    <xdr:grpSp>
      <xdr:nvGrpSpPr>
        <xdr:cNvPr id="22" name="Novacam">
          <a:extLst>
            <a:ext uri="{FF2B5EF4-FFF2-40B4-BE49-F238E27FC236}">
              <a16:creationId xmlns:a16="http://schemas.microsoft.com/office/drawing/2014/main" id="{00000000-0008-0000-0500-000016000000}"/>
            </a:ext>
          </a:extLst>
        </xdr:cNvPr>
        <xdr:cNvGrpSpPr>
          <a:grpSpLocks noChangeAspect="1"/>
        </xdr:cNvGrpSpPr>
      </xdr:nvGrpSpPr>
      <xdr:grpSpPr>
        <a:xfrm>
          <a:off x="2669967" y="14576938"/>
          <a:ext cx="5658273" cy="392642"/>
          <a:chOff x="3767668" y="14319250"/>
          <a:chExt cx="5662083" cy="383117"/>
        </a:xfrm>
      </xdr:grpSpPr>
      <xdr:sp macro="" textlink="">
        <xdr:nvSpPr>
          <xdr:cNvPr id="23" name="Rectángulo: esquinas diagonales cortadas 22">
            <a:extLst>
              <a:ext uri="{FF2B5EF4-FFF2-40B4-BE49-F238E27FC236}">
                <a16:creationId xmlns:a16="http://schemas.microsoft.com/office/drawing/2014/main" id="{00000000-0008-0000-0500-000017000000}"/>
              </a:ext>
            </a:extLst>
          </xdr:cNvPr>
          <xdr:cNvSpPr/>
        </xdr:nvSpPr>
        <xdr:spPr>
          <a:xfrm flipV="1">
            <a:off x="4011081" y="14319250"/>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CuadroTexto 23">
            <a:extLst>
              <a:ext uri="{FF2B5EF4-FFF2-40B4-BE49-F238E27FC236}">
                <a16:creationId xmlns:a16="http://schemas.microsoft.com/office/drawing/2014/main" id="{00000000-0008-0000-0500-000018000000}"/>
              </a:ext>
            </a:extLst>
          </xdr:cNvPr>
          <xdr:cNvSpPr txBox="1"/>
        </xdr:nvSpPr>
        <xdr:spPr>
          <a:xfrm>
            <a:off x="3767668" y="14353304"/>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CÁMARAS NOVACAM PARA SEDIMENTADOR</a:t>
            </a:r>
            <a:r>
              <a:rPr lang="es-CO" sz="1400" b="1" baseline="0">
                <a:solidFill>
                  <a:schemeClr val="bg1"/>
                </a:solidFill>
                <a:latin typeface="PT Sans Narrow" panose="020B0506020203020204" pitchFamily="34" charset="0"/>
              </a:rPr>
              <a:t> Y/O </a:t>
            </a:r>
            <a:r>
              <a:rPr lang="es-CO" sz="1400" b="1">
                <a:solidFill>
                  <a:schemeClr val="bg1"/>
                </a:solidFill>
                <a:latin typeface="PT Sans Narrow" panose="020B0506020203020204" pitchFamily="34" charset="0"/>
              </a:rPr>
              <a:t>POZO EYECTOR (OPCIONAL)</a:t>
            </a:r>
          </a:p>
        </xdr:txBody>
      </xdr:sp>
    </xdr:grpSp>
    <xdr:clientData/>
  </xdr:twoCellAnchor>
  <xdr:twoCellAnchor editAs="absolute">
    <xdr:from>
      <xdr:col>3</xdr:col>
      <xdr:colOff>441539</xdr:colOff>
      <xdr:row>41</xdr:row>
      <xdr:rowOff>98784</xdr:rowOff>
    </xdr:from>
    <xdr:to>
      <xdr:col>11</xdr:col>
      <xdr:colOff>2</xdr:colOff>
      <xdr:row>43</xdr:row>
      <xdr:rowOff>98996</xdr:rowOff>
    </xdr:to>
    <xdr:grpSp>
      <xdr:nvGrpSpPr>
        <xdr:cNvPr id="25" name="Tuberías">
          <a:extLst>
            <a:ext uri="{FF2B5EF4-FFF2-40B4-BE49-F238E27FC236}">
              <a16:creationId xmlns:a16="http://schemas.microsoft.com/office/drawing/2014/main" id="{00000000-0008-0000-0500-000019000000}"/>
            </a:ext>
          </a:extLst>
        </xdr:cNvPr>
        <xdr:cNvGrpSpPr>
          <a:grpSpLocks noChangeAspect="1"/>
        </xdr:cNvGrpSpPr>
      </xdr:nvGrpSpPr>
      <xdr:grpSpPr>
        <a:xfrm>
          <a:off x="2727539" y="7909284"/>
          <a:ext cx="5654463" cy="381212"/>
          <a:chOff x="3810000" y="14319250"/>
          <a:chExt cx="5662083" cy="383117"/>
        </a:xfrm>
      </xdr:grpSpPr>
      <xdr:sp macro="" textlink="">
        <xdr:nvSpPr>
          <xdr:cNvPr id="26" name="Rectángulo: esquinas diagonales cortadas 25">
            <a:extLst>
              <a:ext uri="{FF2B5EF4-FFF2-40B4-BE49-F238E27FC236}">
                <a16:creationId xmlns:a16="http://schemas.microsoft.com/office/drawing/2014/main" id="{00000000-0008-0000-0500-00001A000000}"/>
              </a:ext>
            </a:extLst>
          </xdr:cNvPr>
          <xdr:cNvSpPr/>
        </xdr:nvSpPr>
        <xdr:spPr>
          <a:xfrm flipV="1">
            <a:off x="4011081" y="14319250"/>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7" name="CuadroTexto 26">
            <a:extLst>
              <a:ext uri="{FF2B5EF4-FFF2-40B4-BE49-F238E27FC236}">
                <a16:creationId xmlns:a16="http://schemas.microsoft.com/office/drawing/2014/main" id="{00000000-0008-0000-0500-00001B000000}"/>
              </a:ext>
            </a:extLst>
          </xdr:cNvPr>
          <xdr:cNvSpPr txBox="1"/>
        </xdr:nvSpPr>
        <xdr:spPr>
          <a:xfrm>
            <a:off x="3810000" y="14353304"/>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TUBERÍAS DE ENTRADA,</a:t>
            </a:r>
            <a:r>
              <a:rPr lang="es-CO" sz="1400" b="1" baseline="0">
                <a:solidFill>
                  <a:schemeClr val="bg1"/>
                </a:solidFill>
                <a:latin typeface="PT Sans Narrow" panose="020B0506020203020204" pitchFamily="34" charset="0"/>
              </a:rPr>
              <a:t> SALIDA Y REBOSE</a:t>
            </a:r>
            <a:endParaRPr lang="es-CO" sz="1400" b="1">
              <a:solidFill>
                <a:schemeClr val="bg1"/>
              </a:solidFill>
              <a:latin typeface="PT Sans Narrow" panose="020B0506020203020204" pitchFamily="34" charset="0"/>
            </a:endParaRPr>
          </a:p>
        </xdr:txBody>
      </xdr:sp>
    </xdr:grpSp>
    <xdr:clientData/>
  </xdr:twoCellAnchor>
  <xdr:twoCellAnchor editAs="absolute">
    <xdr:from>
      <xdr:col>3</xdr:col>
      <xdr:colOff>441539</xdr:colOff>
      <xdr:row>5</xdr:row>
      <xdr:rowOff>98791</xdr:rowOff>
    </xdr:from>
    <xdr:to>
      <xdr:col>11</xdr:col>
      <xdr:colOff>2</xdr:colOff>
      <xdr:row>7</xdr:row>
      <xdr:rowOff>99003</xdr:rowOff>
    </xdr:to>
    <xdr:grpSp>
      <xdr:nvGrpSpPr>
        <xdr:cNvPr id="28" name="Dimensiones">
          <a:extLst>
            <a:ext uri="{FF2B5EF4-FFF2-40B4-BE49-F238E27FC236}">
              <a16:creationId xmlns:a16="http://schemas.microsoft.com/office/drawing/2014/main" id="{00000000-0008-0000-0500-00001C000000}"/>
            </a:ext>
          </a:extLst>
        </xdr:cNvPr>
        <xdr:cNvGrpSpPr>
          <a:grpSpLocks noChangeAspect="1"/>
        </xdr:cNvGrpSpPr>
      </xdr:nvGrpSpPr>
      <xdr:grpSpPr>
        <a:xfrm>
          <a:off x="2727539" y="1051291"/>
          <a:ext cx="5654463" cy="381212"/>
          <a:chOff x="3810000" y="14319250"/>
          <a:chExt cx="5662083" cy="383117"/>
        </a:xfrm>
      </xdr:grpSpPr>
      <xdr:sp macro="" textlink="">
        <xdr:nvSpPr>
          <xdr:cNvPr id="29" name="Rectángulo: esquinas diagonales cortadas 28">
            <a:extLst>
              <a:ext uri="{FF2B5EF4-FFF2-40B4-BE49-F238E27FC236}">
                <a16:creationId xmlns:a16="http://schemas.microsoft.com/office/drawing/2014/main" id="{00000000-0008-0000-0500-00001D000000}"/>
              </a:ext>
            </a:extLst>
          </xdr:cNvPr>
          <xdr:cNvSpPr/>
        </xdr:nvSpPr>
        <xdr:spPr>
          <a:xfrm flipV="1">
            <a:off x="4011081" y="14319250"/>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0" name="CuadroTexto 29">
            <a:extLst>
              <a:ext uri="{FF2B5EF4-FFF2-40B4-BE49-F238E27FC236}">
                <a16:creationId xmlns:a16="http://schemas.microsoft.com/office/drawing/2014/main" id="{00000000-0008-0000-0500-00001E000000}"/>
              </a:ext>
            </a:extLst>
          </xdr:cNvPr>
          <xdr:cNvSpPr txBox="1"/>
        </xdr:nvSpPr>
        <xdr:spPr>
          <a:xfrm>
            <a:off x="3810000" y="14353304"/>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DIMENSIONES</a:t>
            </a:r>
            <a:r>
              <a:rPr lang="es-CO" sz="1400" b="1" baseline="0">
                <a:solidFill>
                  <a:schemeClr val="bg1"/>
                </a:solidFill>
                <a:latin typeface="PT Sans Narrow" panose="020B0506020203020204" pitchFamily="34" charset="0"/>
              </a:rPr>
              <a:t> DEL TANQUE</a:t>
            </a:r>
            <a:endParaRPr lang="es-CO" sz="1400" b="1">
              <a:solidFill>
                <a:schemeClr val="bg1"/>
              </a:solidFill>
              <a:latin typeface="PT Sans Narrow" panose="020B0506020203020204" pitchFamily="34" charset="0"/>
            </a:endParaRPr>
          </a:p>
        </xdr:txBody>
      </xdr:sp>
    </xdr:grpSp>
    <xdr:clientData/>
  </xdr:twoCellAnchor>
  <xdr:twoCellAnchor editAs="absolute">
    <xdr:from>
      <xdr:col>12</xdr:col>
      <xdr:colOff>473088</xdr:colOff>
      <xdr:row>0</xdr:row>
      <xdr:rowOff>34501</xdr:rowOff>
    </xdr:from>
    <xdr:to>
      <xdr:col>15</xdr:col>
      <xdr:colOff>3585</xdr:colOff>
      <xdr:row>5</xdr:row>
      <xdr:rowOff>22188</xdr:rowOff>
    </xdr:to>
    <xdr:grpSp>
      <xdr:nvGrpSpPr>
        <xdr:cNvPr id="37" name="DDM">
          <a:extLst>
            <a:ext uri="{FF2B5EF4-FFF2-40B4-BE49-F238E27FC236}">
              <a16:creationId xmlns:a16="http://schemas.microsoft.com/office/drawing/2014/main" id="{00000000-0008-0000-0500-000025000000}"/>
            </a:ext>
          </a:extLst>
        </xdr:cNvPr>
        <xdr:cNvGrpSpPr>
          <a:grpSpLocks noChangeAspect="1"/>
        </xdr:cNvGrpSpPr>
      </xdr:nvGrpSpPr>
      <xdr:grpSpPr>
        <a:xfrm>
          <a:off x="9617088" y="34501"/>
          <a:ext cx="1816497" cy="940187"/>
          <a:chOff x="9613278" y="21166"/>
          <a:chExt cx="1827927" cy="964952"/>
        </a:xfrm>
      </xdr:grpSpPr>
      <xdr:sp macro="[0]!DDM" textlink="">
        <xdr:nvSpPr>
          <xdr:cNvPr id="38" name="Pestaña DDM">
            <a:extLst>
              <a:ext uri="{FF2B5EF4-FFF2-40B4-BE49-F238E27FC236}">
                <a16:creationId xmlns:a16="http://schemas.microsoft.com/office/drawing/2014/main" id="{00000000-0008-0000-0500-000026000000}"/>
              </a:ext>
            </a:extLst>
          </xdr:cNvPr>
          <xdr:cNvSpPr/>
        </xdr:nvSpPr>
        <xdr:spPr>
          <a:xfrm flipH="1">
            <a:off x="9613278" y="21166"/>
            <a:ext cx="1810800" cy="964952"/>
          </a:xfrm>
          <a:custGeom>
            <a:avLst/>
            <a:gdLst>
              <a:gd name="connsiteX0" fmla="*/ 289766 w 1739654"/>
              <a:gd name="connsiteY0" fmla="*/ 0 h 857912"/>
              <a:gd name="connsiteX1" fmla="*/ 1153172 w 1739654"/>
              <a:gd name="connsiteY1" fmla="*/ 0 h 857912"/>
              <a:gd name="connsiteX2" fmla="*/ 1171726 w 1739654"/>
              <a:gd name="connsiteY2" fmla="*/ 1871 h 857912"/>
              <a:gd name="connsiteX3" fmla="*/ 1448928 w 1739654"/>
              <a:gd name="connsiteY3" fmla="*/ 279073 h 857912"/>
              <a:gd name="connsiteX4" fmla="*/ 1449888 w 1739654"/>
              <a:gd name="connsiteY4" fmla="*/ 288599 h 857912"/>
              <a:gd name="connsiteX5" fmla="*/ 1449888 w 1739654"/>
              <a:gd name="connsiteY5" fmla="*/ 568146 h 857912"/>
              <a:gd name="connsiteX6" fmla="*/ 1739654 w 1739654"/>
              <a:gd name="connsiteY6" fmla="*/ 857912 h 857912"/>
              <a:gd name="connsiteX7" fmla="*/ 352308 w 1739654"/>
              <a:gd name="connsiteY7" fmla="*/ 857912 h 857912"/>
              <a:gd name="connsiteX8" fmla="*/ 0 w 1739654"/>
              <a:gd name="connsiteY8" fmla="*/ 857912 h 857912"/>
              <a:gd name="connsiteX9" fmla="*/ 0 w 1739654"/>
              <a:gd name="connsiteY9" fmla="*/ 289766 h 857912"/>
              <a:gd name="connsiteX10" fmla="*/ 289766 w 1739654"/>
              <a:gd name="connsiteY10" fmla="*/ 0 h 857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39654" h="857912">
                <a:moveTo>
                  <a:pt x="289766" y="0"/>
                </a:moveTo>
                <a:lnTo>
                  <a:pt x="1153172" y="0"/>
                </a:lnTo>
                <a:lnTo>
                  <a:pt x="1171726" y="1871"/>
                </a:lnTo>
                <a:cubicBezTo>
                  <a:pt x="1310865" y="30343"/>
                  <a:pt x="1420456" y="139933"/>
                  <a:pt x="1448928" y="279073"/>
                </a:cubicBezTo>
                <a:lnTo>
                  <a:pt x="1449888" y="288599"/>
                </a:lnTo>
                <a:lnTo>
                  <a:pt x="1449888" y="568146"/>
                </a:lnTo>
                <a:cubicBezTo>
                  <a:pt x="1449888" y="728179"/>
                  <a:pt x="1579621" y="857912"/>
                  <a:pt x="1739654" y="857912"/>
                </a:cubicBezTo>
                <a:lnTo>
                  <a:pt x="352308" y="857912"/>
                </a:lnTo>
                <a:lnTo>
                  <a:pt x="0" y="857912"/>
                </a:lnTo>
                <a:lnTo>
                  <a:pt x="0" y="289766"/>
                </a:lnTo>
                <a:cubicBezTo>
                  <a:pt x="0" y="129733"/>
                  <a:pt x="129733" y="0"/>
                  <a:pt x="289766" y="0"/>
                </a:cubicBezTo>
                <a:close/>
              </a:path>
            </a:pathLst>
          </a:custGeom>
          <a:solidFill>
            <a:srgbClr val="2B2B6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0]!DDM" textlink="">
        <xdr:nvSpPr>
          <xdr:cNvPr id="39" name="Texto DDM">
            <a:extLst>
              <a:ext uri="{FF2B5EF4-FFF2-40B4-BE49-F238E27FC236}">
                <a16:creationId xmlns:a16="http://schemas.microsoft.com/office/drawing/2014/main" id="{00000000-0008-0000-0500-000027000000}"/>
              </a:ext>
            </a:extLst>
          </xdr:cNvPr>
          <xdr:cNvSpPr txBox="1"/>
        </xdr:nvSpPr>
        <xdr:spPr>
          <a:xfrm>
            <a:off x="9872382" y="106456"/>
            <a:ext cx="1568823" cy="818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solidFill>
                <a:effectLst/>
                <a:latin typeface="PT Sans Narrow" panose="020B0506020203020204" pitchFamily="34" charset="0"/>
                <a:ea typeface="+mn-ea"/>
                <a:cs typeface="+mn-cs"/>
              </a:rPr>
              <a:t>DESPIECE</a:t>
            </a:r>
            <a:endParaRPr lang="es-CO" sz="1400" b="1" i="0" baseline="0">
              <a:solidFill>
                <a:schemeClr val="bg1"/>
              </a:solidFill>
              <a:effectLst/>
              <a:latin typeface="PT Sans Narrow" panose="020B0506020203020204" pitchFamily="34" charset="0"/>
              <a:ea typeface="+mn-ea"/>
              <a:cs typeface="+mn-cs"/>
            </a:endParaRPr>
          </a:p>
          <a:p>
            <a:pPr algn="ctr"/>
            <a:r>
              <a:rPr lang="es-CO" sz="1400" b="1" i="0" baseline="0">
                <a:solidFill>
                  <a:schemeClr val="bg1"/>
                </a:solidFill>
                <a:effectLst/>
                <a:latin typeface="PT Sans Narrow" panose="020B0506020203020204" pitchFamily="34" charset="0"/>
                <a:ea typeface="+mn-ea"/>
                <a:cs typeface="+mn-cs"/>
              </a:rPr>
              <a:t>DE</a:t>
            </a:r>
          </a:p>
          <a:p>
            <a:pPr algn="ctr"/>
            <a:r>
              <a:rPr lang="es-CO" sz="1400" b="1" i="0" baseline="0">
                <a:solidFill>
                  <a:schemeClr val="bg1"/>
                </a:solidFill>
                <a:effectLst/>
                <a:latin typeface="PT Sans Narrow" panose="020B0506020203020204" pitchFamily="34" charset="0"/>
                <a:ea typeface="+mn-ea"/>
                <a:cs typeface="+mn-cs"/>
              </a:rPr>
              <a:t>MATERIAL</a:t>
            </a:r>
            <a:endParaRPr lang="es-CO" sz="1400" b="1">
              <a:solidFill>
                <a:schemeClr val="bg1"/>
              </a:solidFill>
              <a:latin typeface="PT Sans Narrow" panose="020B0506020203020204" pitchFamily="34" charset="0"/>
            </a:endParaRPr>
          </a:p>
        </xdr:txBody>
      </xdr:sp>
    </xdr:grpSp>
    <xdr:clientData/>
  </xdr:twoCellAnchor>
  <xdr:twoCellAnchor editAs="absolute">
    <xdr:from>
      <xdr:col>10</xdr:col>
      <xdr:colOff>572123</xdr:colOff>
      <xdr:row>0</xdr:row>
      <xdr:rowOff>34501</xdr:rowOff>
    </xdr:from>
    <xdr:to>
      <xdr:col>13</xdr:col>
      <xdr:colOff>186739</xdr:colOff>
      <xdr:row>5</xdr:row>
      <xdr:rowOff>22222</xdr:rowOff>
    </xdr:to>
    <xdr:grpSp>
      <xdr:nvGrpSpPr>
        <xdr:cNvPr id="40" name="FL">
          <a:extLst>
            <a:ext uri="{FF2B5EF4-FFF2-40B4-BE49-F238E27FC236}">
              <a16:creationId xmlns:a16="http://schemas.microsoft.com/office/drawing/2014/main" id="{00000000-0008-0000-0500-000028000000}"/>
            </a:ext>
          </a:extLst>
        </xdr:cNvPr>
        <xdr:cNvGrpSpPr>
          <a:grpSpLocks noChangeAspect="1"/>
        </xdr:cNvGrpSpPr>
      </xdr:nvGrpSpPr>
      <xdr:grpSpPr>
        <a:xfrm>
          <a:off x="8192123" y="34501"/>
          <a:ext cx="1900616" cy="940221"/>
          <a:chOff x="8192123" y="21166"/>
          <a:chExt cx="1885376" cy="963081"/>
        </a:xfrm>
      </xdr:grpSpPr>
      <xdr:sp macro="FL" textlink="">
        <xdr:nvSpPr>
          <xdr:cNvPr id="41" name="Pestaña FL">
            <a:extLst>
              <a:ext uri="{FF2B5EF4-FFF2-40B4-BE49-F238E27FC236}">
                <a16:creationId xmlns:a16="http://schemas.microsoft.com/office/drawing/2014/main" id="{00000000-0008-0000-0500-000029000000}"/>
              </a:ext>
            </a:extLst>
          </xdr:cNvPr>
          <xdr:cNvSpPr/>
        </xdr:nvSpPr>
        <xdr:spPr>
          <a:xfrm flipH="1">
            <a:off x="8192123"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rgbClr val="2B2B62"/>
          </a:solidFill>
          <a:ln w="25400" cap="flat" cmpd="sng" algn="ctr">
            <a:solidFill>
              <a:schemeClr val="bg1">
                <a:lumMod val="100000"/>
              </a:schemeClr>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FL" textlink="">
        <xdr:nvSpPr>
          <xdr:cNvPr id="42" name="Texto FL">
            <a:extLst>
              <a:ext uri="{FF2B5EF4-FFF2-40B4-BE49-F238E27FC236}">
                <a16:creationId xmlns:a16="http://schemas.microsoft.com/office/drawing/2014/main" id="{00000000-0008-0000-0500-00002A000000}"/>
              </a:ext>
            </a:extLst>
          </xdr:cNvPr>
          <xdr:cNvSpPr txBox="1"/>
        </xdr:nvSpPr>
        <xdr:spPr>
          <a:xfrm>
            <a:off x="8303559"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lumMod val="100000"/>
                  </a:schemeClr>
                </a:solidFill>
                <a:effectLst/>
                <a:latin typeface="PT Sans Narrow" panose="020B0506020203020204" pitchFamily="34" charset="0"/>
                <a:ea typeface="+mn-ea"/>
                <a:cs typeface="+mn-cs"/>
              </a:rPr>
              <a:t> FLOTACIÓN</a:t>
            </a:r>
            <a:endParaRPr lang="es-CO" sz="1400" b="1">
              <a:solidFill>
                <a:schemeClr val="bg1">
                  <a:lumMod val="100000"/>
                </a:schemeClr>
              </a:solidFill>
              <a:latin typeface="PT Sans Narrow" panose="020B0506020203020204" pitchFamily="34" charset="0"/>
            </a:endParaRPr>
          </a:p>
        </xdr:txBody>
      </xdr:sp>
    </xdr:grpSp>
    <xdr:clientData/>
  </xdr:twoCellAnchor>
  <xdr:twoCellAnchor editAs="absolute">
    <xdr:from>
      <xdr:col>8</xdr:col>
      <xdr:colOff>574468</xdr:colOff>
      <xdr:row>0</xdr:row>
      <xdr:rowOff>34501</xdr:rowOff>
    </xdr:from>
    <xdr:to>
      <xdr:col>11</xdr:col>
      <xdr:colOff>187179</xdr:colOff>
      <xdr:row>5</xdr:row>
      <xdr:rowOff>22222</xdr:rowOff>
    </xdr:to>
    <xdr:grpSp>
      <xdr:nvGrpSpPr>
        <xdr:cNvPr id="43" name="INF">
          <a:extLst>
            <a:ext uri="{FF2B5EF4-FFF2-40B4-BE49-F238E27FC236}">
              <a16:creationId xmlns:a16="http://schemas.microsoft.com/office/drawing/2014/main" id="{00000000-0008-0000-0500-00002B000000}"/>
            </a:ext>
          </a:extLst>
        </xdr:cNvPr>
        <xdr:cNvGrpSpPr>
          <a:grpSpLocks noChangeAspect="1"/>
        </xdr:cNvGrpSpPr>
      </xdr:nvGrpSpPr>
      <xdr:grpSpPr>
        <a:xfrm>
          <a:off x="6670468" y="34501"/>
          <a:ext cx="1898711" cy="940221"/>
          <a:chOff x="6678088" y="21166"/>
          <a:chExt cx="1885376" cy="963081"/>
        </a:xfrm>
      </xdr:grpSpPr>
      <xdr:sp macro="INF" textlink="">
        <xdr:nvSpPr>
          <xdr:cNvPr id="44" name="Pestaña INF">
            <a:extLst>
              <a:ext uri="{FF2B5EF4-FFF2-40B4-BE49-F238E27FC236}">
                <a16:creationId xmlns:a16="http://schemas.microsoft.com/office/drawing/2014/main" id="{00000000-0008-0000-0500-00002C000000}"/>
              </a:ext>
            </a:extLst>
          </xdr:cNvPr>
          <xdr:cNvSpPr/>
        </xdr:nvSpPr>
        <xdr:spPr>
          <a:xfrm flipH="1">
            <a:off x="6678088"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rgbClr val="2B2B62"/>
          </a:solidFill>
          <a:ln w="25400" cap="flat" cmpd="sng" algn="ctr">
            <a:solidFill>
              <a:schemeClr val="bg1">
                <a:lumMod val="100000"/>
              </a:schemeClr>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INF" textlink="">
        <xdr:nvSpPr>
          <xdr:cNvPr id="45" name="Texto INF">
            <a:extLst>
              <a:ext uri="{FF2B5EF4-FFF2-40B4-BE49-F238E27FC236}">
                <a16:creationId xmlns:a16="http://schemas.microsoft.com/office/drawing/2014/main" id="{00000000-0008-0000-0500-00002D000000}"/>
              </a:ext>
            </a:extLst>
          </xdr:cNvPr>
          <xdr:cNvSpPr txBox="1"/>
        </xdr:nvSpPr>
        <xdr:spPr>
          <a:xfrm>
            <a:off x="6808693"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lumMod val="100000"/>
                  </a:schemeClr>
                </a:solidFill>
                <a:effectLst/>
                <a:latin typeface="PT Sans Narrow" panose="020B0506020203020204" pitchFamily="34" charset="0"/>
                <a:ea typeface="+mn-ea"/>
                <a:cs typeface="+mn-cs"/>
              </a:rPr>
              <a:t> INFILTRACIÓN</a:t>
            </a:r>
            <a:endParaRPr lang="es-CO" sz="1400" b="1">
              <a:solidFill>
                <a:schemeClr val="bg1">
                  <a:lumMod val="100000"/>
                </a:schemeClr>
              </a:solidFill>
              <a:latin typeface="PT Sans Narrow" panose="020B0506020203020204" pitchFamily="34" charset="0"/>
            </a:endParaRPr>
          </a:p>
        </xdr:txBody>
      </xdr:sp>
    </xdr:grpSp>
    <xdr:clientData/>
  </xdr:twoCellAnchor>
  <xdr:twoCellAnchor editAs="absolute">
    <xdr:from>
      <xdr:col>6</xdr:col>
      <xdr:colOff>606003</xdr:colOff>
      <xdr:row>0</xdr:row>
      <xdr:rowOff>34501</xdr:rowOff>
    </xdr:from>
    <xdr:to>
      <xdr:col>9</xdr:col>
      <xdr:colOff>192044</xdr:colOff>
      <xdr:row>5</xdr:row>
      <xdr:rowOff>22222</xdr:rowOff>
    </xdr:to>
    <xdr:grpSp>
      <xdr:nvGrpSpPr>
        <xdr:cNvPr id="46" name="TDV">
          <a:extLst>
            <a:ext uri="{FF2B5EF4-FFF2-40B4-BE49-F238E27FC236}">
              <a16:creationId xmlns:a16="http://schemas.microsoft.com/office/drawing/2014/main" id="{00000000-0008-0000-0500-00002E000000}"/>
            </a:ext>
          </a:extLst>
        </xdr:cNvPr>
        <xdr:cNvGrpSpPr>
          <a:grpSpLocks noChangeAspect="1"/>
        </xdr:cNvGrpSpPr>
      </xdr:nvGrpSpPr>
      <xdr:grpSpPr>
        <a:xfrm>
          <a:off x="5178003" y="34501"/>
          <a:ext cx="1872041" cy="940221"/>
          <a:chOff x="5164668" y="21166"/>
          <a:chExt cx="1885376" cy="963081"/>
        </a:xfrm>
      </xdr:grpSpPr>
      <xdr:sp macro="TDV" textlink="">
        <xdr:nvSpPr>
          <xdr:cNvPr id="47" name="Pestaña TDV">
            <a:extLst>
              <a:ext uri="{FF2B5EF4-FFF2-40B4-BE49-F238E27FC236}">
                <a16:creationId xmlns:a16="http://schemas.microsoft.com/office/drawing/2014/main" id="{00000000-0008-0000-0500-00002F000000}"/>
              </a:ext>
            </a:extLst>
          </xdr:cNvPr>
          <xdr:cNvSpPr/>
        </xdr:nvSpPr>
        <xdr:spPr>
          <a:xfrm flipH="1">
            <a:off x="5164668"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rgbClr val="2B2B62"/>
          </a:solidFill>
          <a:ln w="25400" cap="flat" cmpd="sng" algn="ctr">
            <a:solidFill>
              <a:schemeClr val="bg1">
                <a:lumMod val="100000"/>
              </a:schemeClr>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TDV" textlink="">
        <xdr:nvSpPr>
          <xdr:cNvPr id="48" name="Texto TDV">
            <a:extLst>
              <a:ext uri="{FF2B5EF4-FFF2-40B4-BE49-F238E27FC236}">
                <a16:creationId xmlns:a16="http://schemas.microsoft.com/office/drawing/2014/main" id="{00000000-0008-0000-0500-000030000000}"/>
              </a:ext>
            </a:extLst>
          </xdr:cNvPr>
          <xdr:cNvSpPr txBox="1"/>
        </xdr:nvSpPr>
        <xdr:spPr>
          <a:xfrm>
            <a:off x="5311589" y="106456"/>
            <a:ext cx="1568823" cy="818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lumMod val="100000"/>
                  </a:schemeClr>
                </a:solidFill>
                <a:effectLst/>
                <a:latin typeface="PT Sans Narrow" panose="020B0506020203020204" pitchFamily="34" charset="0"/>
                <a:ea typeface="+mn-ea"/>
                <a:cs typeface="+mn-cs"/>
              </a:rPr>
              <a:t>TIEMPO</a:t>
            </a:r>
            <a:endParaRPr lang="es-CO" sz="1400" b="1" i="0" baseline="0">
              <a:solidFill>
                <a:schemeClr val="bg1">
                  <a:lumMod val="100000"/>
                </a:schemeClr>
              </a:solidFill>
              <a:effectLst/>
              <a:latin typeface="PT Sans Narrow" panose="020B0506020203020204" pitchFamily="34" charset="0"/>
              <a:ea typeface="+mn-ea"/>
              <a:cs typeface="+mn-cs"/>
            </a:endParaRPr>
          </a:p>
          <a:p>
            <a:pPr algn="ctr"/>
            <a:r>
              <a:rPr lang="es-CO" sz="1400" b="1" i="0" baseline="0">
                <a:solidFill>
                  <a:schemeClr val="bg1">
                    <a:lumMod val="100000"/>
                  </a:schemeClr>
                </a:solidFill>
                <a:effectLst/>
                <a:latin typeface="PT Sans Narrow" panose="020B0506020203020204" pitchFamily="34" charset="0"/>
                <a:ea typeface="+mn-ea"/>
                <a:cs typeface="+mn-cs"/>
              </a:rPr>
              <a:t>DE</a:t>
            </a:r>
          </a:p>
          <a:p>
            <a:pPr algn="ctr"/>
            <a:r>
              <a:rPr lang="es-CO" sz="1400" b="1" i="0" baseline="0">
                <a:solidFill>
                  <a:schemeClr val="bg1">
                    <a:lumMod val="100000"/>
                  </a:schemeClr>
                </a:solidFill>
                <a:effectLst/>
                <a:latin typeface="PT Sans Narrow" panose="020B0506020203020204" pitchFamily="34" charset="0"/>
                <a:ea typeface="+mn-ea"/>
                <a:cs typeface="+mn-cs"/>
              </a:rPr>
              <a:t>VACIADO</a:t>
            </a:r>
            <a:endParaRPr lang="es-CO" sz="1400" b="1">
              <a:solidFill>
                <a:schemeClr val="bg1">
                  <a:lumMod val="100000"/>
                </a:schemeClr>
              </a:solidFill>
              <a:latin typeface="PT Sans Narrow" panose="020B0506020203020204" pitchFamily="34" charset="0"/>
            </a:endParaRPr>
          </a:p>
        </xdr:txBody>
      </xdr:sp>
    </xdr:grpSp>
    <xdr:clientData/>
  </xdr:twoCellAnchor>
  <xdr:twoCellAnchor editAs="absolute">
    <xdr:from>
      <xdr:col>4</xdr:col>
      <xdr:colOff>707875</xdr:colOff>
      <xdr:row>0</xdr:row>
      <xdr:rowOff>34502</xdr:rowOff>
    </xdr:from>
    <xdr:to>
      <xdr:col>7</xdr:col>
      <xdr:colOff>289559</xdr:colOff>
      <xdr:row>5</xdr:row>
      <xdr:rowOff>41015</xdr:rowOff>
    </xdr:to>
    <xdr:grpSp>
      <xdr:nvGrpSpPr>
        <xdr:cNvPr id="49" name="D">
          <a:extLst>
            <a:ext uri="{FF2B5EF4-FFF2-40B4-BE49-F238E27FC236}">
              <a16:creationId xmlns:a16="http://schemas.microsoft.com/office/drawing/2014/main" id="{00000000-0008-0000-0500-000031000000}"/>
            </a:ext>
          </a:extLst>
        </xdr:cNvPr>
        <xdr:cNvGrpSpPr>
          <a:grpSpLocks noChangeAspect="1"/>
        </xdr:cNvGrpSpPr>
      </xdr:nvGrpSpPr>
      <xdr:grpSpPr>
        <a:xfrm>
          <a:off x="3755875" y="34502"/>
          <a:ext cx="1867684" cy="959013"/>
          <a:chOff x="3753970" y="21167"/>
          <a:chExt cx="1865779" cy="976158"/>
        </a:xfrm>
      </xdr:grpSpPr>
      <xdr:sp macro="" textlink="">
        <xdr:nvSpPr>
          <xdr:cNvPr id="50" name="Pestaña D">
            <a:extLst>
              <a:ext uri="{FF2B5EF4-FFF2-40B4-BE49-F238E27FC236}">
                <a16:creationId xmlns:a16="http://schemas.microsoft.com/office/drawing/2014/main" id="{00000000-0008-0000-0500-000032000000}"/>
              </a:ext>
            </a:extLst>
          </xdr:cNvPr>
          <xdr:cNvSpPr/>
        </xdr:nvSpPr>
        <xdr:spPr>
          <a:xfrm>
            <a:off x="3810000" y="21167"/>
            <a:ext cx="1809749" cy="976158"/>
          </a:xfrm>
          <a:custGeom>
            <a:avLst/>
            <a:gdLst>
              <a:gd name="connsiteX0" fmla="*/ 289766 w 1739654"/>
              <a:gd name="connsiteY0" fmla="*/ 0 h 857912"/>
              <a:gd name="connsiteX1" fmla="*/ 1153172 w 1739654"/>
              <a:gd name="connsiteY1" fmla="*/ 0 h 857912"/>
              <a:gd name="connsiteX2" fmla="*/ 1171726 w 1739654"/>
              <a:gd name="connsiteY2" fmla="*/ 1871 h 857912"/>
              <a:gd name="connsiteX3" fmla="*/ 1448928 w 1739654"/>
              <a:gd name="connsiteY3" fmla="*/ 279073 h 857912"/>
              <a:gd name="connsiteX4" fmla="*/ 1449888 w 1739654"/>
              <a:gd name="connsiteY4" fmla="*/ 288599 h 857912"/>
              <a:gd name="connsiteX5" fmla="*/ 1449888 w 1739654"/>
              <a:gd name="connsiteY5" fmla="*/ 568146 h 857912"/>
              <a:gd name="connsiteX6" fmla="*/ 1739654 w 1739654"/>
              <a:gd name="connsiteY6" fmla="*/ 857912 h 857912"/>
              <a:gd name="connsiteX7" fmla="*/ 352308 w 1739654"/>
              <a:gd name="connsiteY7" fmla="*/ 857912 h 857912"/>
              <a:gd name="connsiteX8" fmla="*/ 0 w 1739654"/>
              <a:gd name="connsiteY8" fmla="*/ 857912 h 857912"/>
              <a:gd name="connsiteX9" fmla="*/ 0 w 1739654"/>
              <a:gd name="connsiteY9" fmla="*/ 289766 h 857912"/>
              <a:gd name="connsiteX10" fmla="*/ 289766 w 1739654"/>
              <a:gd name="connsiteY10" fmla="*/ 0 h 857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39654" h="857912">
                <a:moveTo>
                  <a:pt x="289766" y="0"/>
                </a:moveTo>
                <a:lnTo>
                  <a:pt x="1153172" y="0"/>
                </a:lnTo>
                <a:lnTo>
                  <a:pt x="1171726" y="1871"/>
                </a:lnTo>
                <a:cubicBezTo>
                  <a:pt x="1310865" y="30343"/>
                  <a:pt x="1420456" y="139933"/>
                  <a:pt x="1448928" y="279073"/>
                </a:cubicBezTo>
                <a:lnTo>
                  <a:pt x="1449888" y="288599"/>
                </a:lnTo>
                <a:lnTo>
                  <a:pt x="1449888" y="568146"/>
                </a:lnTo>
                <a:cubicBezTo>
                  <a:pt x="1449888" y="728179"/>
                  <a:pt x="1579621" y="857912"/>
                  <a:pt x="1739654" y="857912"/>
                </a:cubicBezTo>
                <a:lnTo>
                  <a:pt x="352308" y="857912"/>
                </a:lnTo>
                <a:lnTo>
                  <a:pt x="0" y="857912"/>
                </a:lnTo>
                <a:lnTo>
                  <a:pt x="0" y="289766"/>
                </a:lnTo>
                <a:cubicBezTo>
                  <a:pt x="0" y="129733"/>
                  <a:pt x="129733" y="0"/>
                  <a:pt x="289766" y="0"/>
                </a:cubicBezTo>
                <a:close/>
              </a:path>
            </a:pathLst>
          </a:cu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51" name="Texto D">
            <a:extLst>
              <a:ext uri="{FF2B5EF4-FFF2-40B4-BE49-F238E27FC236}">
                <a16:creationId xmlns:a16="http://schemas.microsoft.com/office/drawing/2014/main" id="{00000000-0008-0000-0500-000033000000}"/>
              </a:ext>
            </a:extLst>
          </xdr:cNvPr>
          <xdr:cNvSpPr txBox="1"/>
        </xdr:nvSpPr>
        <xdr:spPr>
          <a:xfrm>
            <a:off x="3753970"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rgbClr val="00B050"/>
                </a:solidFill>
                <a:effectLst/>
                <a:latin typeface="PT Sans Narrow" panose="020B0506020203020204" pitchFamily="34" charset="0"/>
                <a:ea typeface="+mn-ea"/>
                <a:cs typeface="+mn-cs"/>
              </a:rPr>
              <a:t>DIMENSIONAMIENTO</a:t>
            </a:r>
            <a:endParaRPr lang="es-CO" sz="1400" b="1">
              <a:solidFill>
                <a:srgbClr val="00B050"/>
              </a:solidFill>
              <a:latin typeface="PT Sans Narrow" panose="020B0506020203020204" pitchFamily="34" charset="0"/>
            </a:endParaRPr>
          </a:p>
        </xdr:txBody>
      </xdr:sp>
    </xdr:grpSp>
    <xdr:clientData/>
  </xdr:twoCellAnchor>
  <xdr:twoCellAnchor editAs="absolute">
    <xdr:from>
      <xdr:col>17</xdr:col>
      <xdr:colOff>35718</xdr:colOff>
      <xdr:row>21</xdr:row>
      <xdr:rowOff>110960</xdr:rowOff>
    </xdr:from>
    <xdr:to>
      <xdr:col>17</xdr:col>
      <xdr:colOff>974690</xdr:colOff>
      <xdr:row>27</xdr:row>
      <xdr:rowOff>167932</xdr:rowOff>
    </xdr:to>
    <xdr:grpSp>
      <xdr:nvGrpSpPr>
        <xdr:cNvPr id="52" name="Boton Datos de Proy Up">
          <a:extLst>
            <a:ext uri="{FF2B5EF4-FFF2-40B4-BE49-F238E27FC236}">
              <a16:creationId xmlns:a16="http://schemas.microsoft.com/office/drawing/2014/main" id="{00000000-0008-0000-0500-000034000000}"/>
            </a:ext>
          </a:extLst>
        </xdr:cNvPr>
        <xdr:cNvGrpSpPr>
          <a:grpSpLocks noChangeAspect="1"/>
        </xdr:cNvGrpSpPr>
      </xdr:nvGrpSpPr>
      <xdr:grpSpPr>
        <a:xfrm>
          <a:off x="12989718" y="4111460"/>
          <a:ext cx="938972" cy="1199972"/>
          <a:chOff x="1725407" y="1124918"/>
          <a:chExt cx="1048614" cy="1520915"/>
        </a:xfrm>
      </xdr:grpSpPr>
      <xdr:sp macro="[0]!Volver_Datos_Proy" textlink="">
        <xdr:nvSpPr>
          <xdr:cNvPr id="53" name="Octágono 52">
            <a:extLst>
              <a:ext uri="{FF2B5EF4-FFF2-40B4-BE49-F238E27FC236}">
                <a16:creationId xmlns:a16="http://schemas.microsoft.com/office/drawing/2014/main" id="{00000000-0008-0000-0500-000035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Volver_Datos_Proy" textlink="">
        <xdr:nvSpPr>
          <xdr:cNvPr id="54" name="CuadroTexto 53">
            <a:extLst>
              <a:ext uri="{FF2B5EF4-FFF2-40B4-BE49-F238E27FC236}">
                <a16:creationId xmlns:a16="http://schemas.microsoft.com/office/drawing/2014/main" id="{00000000-0008-0000-0500-000036000000}"/>
              </a:ext>
            </a:extLst>
          </xdr:cNvPr>
          <xdr:cNvSpPr txBox="1"/>
        </xdr:nvSpPr>
        <xdr:spPr>
          <a:xfrm>
            <a:off x="1725407" y="1124918"/>
            <a:ext cx="1048614" cy="1021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DATOS DE PROYECTO</a:t>
            </a:r>
          </a:p>
        </xdr:txBody>
      </xdr:sp>
      <xdr:pic macro="[0]!Volver_Datos_Proy">
        <xdr:nvPicPr>
          <xdr:cNvPr id="55" name="Imagen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twoCellAnchor editAs="absolute">
    <xdr:from>
      <xdr:col>1</xdr:col>
      <xdr:colOff>263366</xdr:colOff>
      <xdr:row>96</xdr:row>
      <xdr:rowOff>53340</xdr:rowOff>
    </xdr:from>
    <xdr:to>
      <xdr:col>1</xdr:col>
      <xdr:colOff>663021</xdr:colOff>
      <xdr:row>97</xdr:row>
      <xdr:rowOff>175215</xdr:rowOff>
    </xdr:to>
    <xdr:pic>
      <xdr:nvPicPr>
        <xdr:cNvPr id="13" name="YouTube">
          <a:hlinkClick xmlns:r="http://schemas.openxmlformats.org/officeDocument/2006/relationships" r:id="rId7"/>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12031" y="18335625"/>
          <a:ext cx="405370" cy="312375"/>
        </a:xfrm>
        <a:prstGeom prst="rect">
          <a:avLst/>
        </a:prstGeom>
      </xdr:spPr>
    </xdr:pic>
    <xdr:clientData/>
  </xdr:twoCellAnchor>
  <xdr:twoCellAnchor editAs="absolute">
    <xdr:from>
      <xdr:col>5</xdr:col>
      <xdr:colOff>0</xdr:colOff>
      <xdr:row>95</xdr:row>
      <xdr:rowOff>72863</xdr:rowOff>
    </xdr:from>
    <xdr:to>
      <xdr:col>8</xdr:col>
      <xdr:colOff>419288</xdr:colOff>
      <xdr:row>98</xdr:row>
      <xdr:rowOff>156123</xdr:rowOff>
    </xdr:to>
    <xdr:sp macro="" textlink="">
      <xdr:nvSpPr>
        <xdr:cNvPr id="18" name="Marcador de texto 2">
          <a:extLst>
            <a:ext uri="{FF2B5EF4-FFF2-40B4-BE49-F238E27FC236}">
              <a16:creationId xmlns:a16="http://schemas.microsoft.com/office/drawing/2014/main" id="{00000000-0008-0000-0500-000012000000}"/>
            </a:ext>
          </a:extLst>
        </xdr:cNvPr>
        <xdr:cNvSpPr>
          <a:spLocks noGrp="1" noChangeAspect="1"/>
        </xdr:cNvSpPr>
      </xdr:nvSpPr>
      <xdr:spPr>
        <a:xfrm flipH="1" flipV="1">
          <a:off x="3810000" y="18157028"/>
          <a:ext cx="2705288" cy="675715"/>
        </a:xfrm>
        <a:prstGeom prst="rect">
          <a:avLst/>
        </a:prstGeom>
        <a:blipFill>
          <a:blip xmlns:r="http://schemas.openxmlformats.org/officeDocument/2006/relationships" r:embed="rId9"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8</xdr:col>
      <xdr:colOff>415701</xdr:colOff>
      <xdr:row>95</xdr:row>
      <xdr:rowOff>72863</xdr:rowOff>
    </xdr:from>
    <xdr:to>
      <xdr:col>11</xdr:col>
      <xdr:colOff>606202</xdr:colOff>
      <xdr:row>98</xdr:row>
      <xdr:rowOff>156123</xdr:rowOff>
    </xdr:to>
    <xdr:sp macro="" textlink="">
      <xdr:nvSpPr>
        <xdr:cNvPr id="19" name="Marcador de texto 2">
          <a:extLst>
            <a:ext uri="{FF2B5EF4-FFF2-40B4-BE49-F238E27FC236}">
              <a16:creationId xmlns:a16="http://schemas.microsoft.com/office/drawing/2014/main" id="{00000000-0008-0000-0500-000013000000}"/>
            </a:ext>
          </a:extLst>
        </xdr:cNvPr>
        <xdr:cNvSpPr>
          <a:spLocks noGrp="1" noChangeAspect="1"/>
        </xdr:cNvSpPr>
      </xdr:nvSpPr>
      <xdr:spPr>
        <a:xfrm>
          <a:off x="6504081" y="18157028"/>
          <a:ext cx="2476501" cy="675715"/>
        </a:xfrm>
        <a:prstGeom prst="rect">
          <a:avLst/>
        </a:prstGeom>
        <a:blipFill>
          <a:blip xmlns:r="http://schemas.openxmlformats.org/officeDocument/2006/relationships" r:embed="rId9"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13</xdr:col>
      <xdr:colOff>269839</xdr:colOff>
      <xdr:row>95</xdr:row>
      <xdr:rowOff>72863</xdr:rowOff>
    </xdr:from>
    <xdr:to>
      <xdr:col>14</xdr:col>
      <xdr:colOff>758267</xdr:colOff>
      <xdr:row>98</xdr:row>
      <xdr:rowOff>150029</xdr:rowOff>
    </xdr:to>
    <xdr:sp macro="" textlink="">
      <xdr:nvSpPr>
        <xdr:cNvPr id="20" name="Marcador de texto 2">
          <a:extLst>
            <a:ext uri="{FF2B5EF4-FFF2-40B4-BE49-F238E27FC236}">
              <a16:creationId xmlns:a16="http://schemas.microsoft.com/office/drawing/2014/main" id="{00000000-0008-0000-0500-000014000000}"/>
            </a:ext>
          </a:extLst>
        </xdr:cNvPr>
        <xdr:cNvSpPr>
          <a:spLocks noGrp="1" noChangeAspect="1"/>
        </xdr:cNvSpPr>
      </xdr:nvSpPr>
      <xdr:spPr>
        <a:xfrm flipV="1">
          <a:off x="10177744" y="18157028"/>
          <a:ext cx="1248523" cy="662001"/>
        </a:xfrm>
        <a:prstGeom prst="rect">
          <a:avLst/>
        </a:prstGeom>
        <a:blipFill>
          <a:blip xmlns:r="http://schemas.openxmlformats.org/officeDocument/2006/relationships" r:embed="rId9"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11</xdr:col>
      <xdr:colOff>454023</xdr:colOff>
      <xdr:row>95</xdr:row>
      <xdr:rowOff>72863</xdr:rowOff>
    </xdr:from>
    <xdr:to>
      <xdr:col>13</xdr:col>
      <xdr:colOff>282784</xdr:colOff>
      <xdr:row>98</xdr:row>
      <xdr:rowOff>150031</xdr:rowOff>
    </xdr:to>
    <xdr:sp macro="" textlink="">
      <xdr:nvSpPr>
        <xdr:cNvPr id="21" name="Marcador de texto 2">
          <a:extLst>
            <a:ext uri="{FF2B5EF4-FFF2-40B4-BE49-F238E27FC236}">
              <a16:creationId xmlns:a16="http://schemas.microsoft.com/office/drawing/2014/main" id="{00000000-0008-0000-0500-000015000000}"/>
            </a:ext>
          </a:extLst>
        </xdr:cNvPr>
        <xdr:cNvSpPr>
          <a:spLocks noGrp="1" noChangeAspect="1"/>
        </xdr:cNvSpPr>
      </xdr:nvSpPr>
      <xdr:spPr>
        <a:xfrm flipH="1" flipV="1">
          <a:off x="8826498" y="18157028"/>
          <a:ext cx="1354666" cy="662003"/>
        </a:xfrm>
        <a:prstGeom prst="rect">
          <a:avLst/>
        </a:prstGeom>
        <a:blipFill>
          <a:blip xmlns:r="http://schemas.openxmlformats.org/officeDocument/2006/relationships" r:embed="rId9" cstate="email">
            <a:extLst>
              <a:ext uri="{28A0092B-C50C-407E-A947-70E740481C1C}">
                <a14:useLocalDpi xmlns:a14="http://schemas.microsoft.com/office/drawing/2010/main"/>
              </a:ext>
            </a:extLst>
          </a:blip>
          <a:srcRect/>
          <a:stretch>
            <a:fillRect l="-8182" r="-91521"/>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8</xdr:col>
      <xdr:colOff>110964</xdr:colOff>
      <xdr:row>11</xdr:row>
      <xdr:rowOff>148591</xdr:rowOff>
    </xdr:from>
    <xdr:to>
      <xdr:col>14</xdr:col>
      <xdr:colOff>365013</xdr:colOff>
      <xdr:row>14</xdr:row>
      <xdr:rowOff>72526</xdr:rowOff>
    </xdr:to>
    <xdr:grpSp>
      <xdr:nvGrpSpPr>
        <xdr:cNvPr id="4" name="Dimensiones">
          <a:extLst>
            <a:ext uri="{FF2B5EF4-FFF2-40B4-BE49-F238E27FC236}">
              <a16:creationId xmlns:a16="http://schemas.microsoft.com/office/drawing/2014/main" id="{00000000-0008-0000-0500-000004000000}"/>
            </a:ext>
          </a:extLst>
        </xdr:cNvPr>
        <xdr:cNvGrpSpPr>
          <a:grpSpLocks noChangeAspect="1"/>
        </xdr:cNvGrpSpPr>
      </xdr:nvGrpSpPr>
      <xdr:grpSpPr>
        <a:xfrm flipH="1">
          <a:off x="6206964" y="2244091"/>
          <a:ext cx="4826049" cy="495435"/>
          <a:chOff x="4011081" y="14244208"/>
          <a:chExt cx="5217583" cy="525539"/>
        </a:xfrm>
      </xdr:grpSpPr>
      <xdr:sp macro="[0]!DFF" textlink="">
        <xdr:nvSpPr>
          <xdr:cNvPr id="5" name="Rectángulo: esquinas diagonales cortadas 4">
            <a:extLst>
              <a:ext uri="{FF2B5EF4-FFF2-40B4-BE49-F238E27FC236}">
                <a16:creationId xmlns:a16="http://schemas.microsoft.com/office/drawing/2014/main" id="{00000000-0008-0000-0500-000005000000}"/>
              </a:ext>
            </a:extLst>
          </xdr:cNvPr>
          <xdr:cNvSpPr/>
        </xdr:nvSpPr>
        <xdr:spPr>
          <a:xfrm flipV="1">
            <a:off x="4011081" y="14319250"/>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DFF" textlink="">
        <xdr:nvSpPr>
          <xdr:cNvPr id="6" name="CuadroTexto 5">
            <a:extLst>
              <a:ext uri="{FF2B5EF4-FFF2-40B4-BE49-F238E27FC236}">
                <a16:creationId xmlns:a16="http://schemas.microsoft.com/office/drawing/2014/main" id="{00000000-0008-0000-0500-000006000000}"/>
              </a:ext>
            </a:extLst>
          </xdr:cNvPr>
          <xdr:cNvSpPr txBox="1"/>
        </xdr:nvSpPr>
        <xdr:spPr>
          <a:xfrm>
            <a:off x="4173014" y="14244208"/>
            <a:ext cx="4762500" cy="525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CO" sz="1100" b="1">
                <a:solidFill>
                  <a:schemeClr val="bg1"/>
                </a:solidFill>
                <a:latin typeface="PT Sans Narrow" panose="020B0506020203020204" pitchFamily="34" charset="0"/>
              </a:rPr>
              <a:t>Tipo de celda con la cual quieres dimensionar tu tanque. Para conocer las diferencias entre los tipos de celdas has clic aquí</a:t>
            </a:r>
          </a:p>
        </xdr:txBody>
      </xdr:sp>
    </xdr:grpSp>
    <xdr:clientData/>
  </xdr:twoCellAnchor>
  <xdr:twoCellAnchor editAs="absolute">
    <xdr:from>
      <xdr:col>15</xdr:col>
      <xdr:colOff>364808</xdr:colOff>
      <xdr:row>35</xdr:row>
      <xdr:rowOff>91441</xdr:rowOff>
    </xdr:from>
    <xdr:to>
      <xdr:col>17</xdr:col>
      <xdr:colOff>745931</xdr:colOff>
      <xdr:row>40</xdr:row>
      <xdr:rowOff>34505</xdr:rowOff>
    </xdr:to>
    <xdr:grpSp>
      <xdr:nvGrpSpPr>
        <xdr:cNvPr id="7" name="Boton Tablas">
          <a:extLst>
            <a:ext uri="{FF2B5EF4-FFF2-40B4-BE49-F238E27FC236}">
              <a16:creationId xmlns:a16="http://schemas.microsoft.com/office/drawing/2014/main" id="{00000000-0008-0000-0500-000007000000}"/>
            </a:ext>
          </a:extLst>
        </xdr:cNvPr>
        <xdr:cNvGrpSpPr>
          <a:grpSpLocks noChangeAspect="1"/>
        </xdr:cNvGrpSpPr>
      </xdr:nvGrpSpPr>
      <xdr:grpSpPr>
        <a:xfrm rot="5400000">
          <a:off x="12299588" y="6254161"/>
          <a:ext cx="895564" cy="1905123"/>
          <a:chOff x="1807006" y="1248832"/>
          <a:chExt cx="896222" cy="1397001"/>
        </a:xfrm>
      </xdr:grpSpPr>
      <xdr:sp macro="[0]!SUELOS" textlink="">
        <xdr:nvSpPr>
          <xdr:cNvPr id="10" name="Octágono 9">
            <a:extLst>
              <a:ext uri="{FF2B5EF4-FFF2-40B4-BE49-F238E27FC236}">
                <a16:creationId xmlns:a16="http://schemas.microsoft.com/office/drawing/2014/main" id="{00000000-0008-0000-0500-00000A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SUELOS" textlink="">
        <xdr:nvSpPr>
          <xdr:cNvPr id="31" name="CuadroTexto 30">
            <a:extLst>
              <a:ext uri="{FF2B5EF4-FFF2-40B4-BE49-F238E27FC236}">
                <a16:creationId xmlns:a16="http://schemas.microsoft.com/office/drawing/2014/main" id="{00000000-0008-0000-0500-00001F000000}"/>
              </a:ext>
            </a:extLst>
          </xdr:cNvPr>
          <xdr:cNvSpPr txBox="1"/>
        </xdr:nvSpPr>
        <xdr:spPr>
          <a:xfrm rot="16200000">
            <a:off x="1624662" y="1509383"/>
            <a:ext cx="1260910" cy="896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baseline="0">
                <a:solidFill>
                  <a:sysClr val="windowText" lastClr="000000"/>
                </a:solidFill>
                <a:latin typeface="PT Sans Narrow" panose="020B0506020203020204" pitchFamily="34" charset="0"/>
              </a:rPr>
              <a:t>Da clic acá para conocer diferentes valores recomendados para algunos tipos de suelo</a:t>
            </a:r>
            <a:endParaRPr lang="es-CO" sz="1100" b="1">
              <a:solidFill>
                <a:sysClr val="windowText" lastClr="000000"/>
              </a:solidFill>
              <a:latin typeface="PT Sans Narrow" panose="020B0506020203020204" pitchFamily="34" charset="0"/>
            </a:endParaRPr>
          </a:p>
        </xdr:txBody>
      </xdr:sp>
    </xdr:grpSp>
    <xdr:clientData/>
  </xdr:twoCellAnchor>
  <xdr:twoCellAnchor editAs="absolute">
    <xdr:from>
      <xdr:col>15</xdr:col>
      <xdr:colOff>364808</xdr:colOff>
      <xdr:row>41</xdr:row>
      <xdr:rowOff>34291</xdr:rowOff>
    </xdr:from>
    <xdr:to>
      <xdr:col>17</xdr:col>
      <xdr:colOff>745931</xdr:colOff>
      <xdr:row>45</xdr:row>
      <xdr:rowOff>148805</xdr:rowOff>
    </xdr:to>
    <xdr:grpSp>
      <xdr:nvGrpSpPr>
        <xdr:cNvPr id="32" name="Boton Tablas">
          <a:extLst>
            <a:ext uri="{FF2B5EF4-FFF2-40B4-BE49-F238E27FC236}">
              <a16:creationId xmlns:a16="http://schemas.microsoft.com/office/drawing/2014/main" id="{00000000-0008-0000-0500-000020000000}"/>
            </a:ext>
          </a:extLst>
        </xdr:cNvPr>
        <xdr:cNvGrpSpPr>
          <a:grpSpLocks noChangeAspect="1"/>
        </xdr:cNvGrpSpPr>
      </xdr:nvGrpSpPr>
      <xdr:grpSpPr>
        <a:xfrm rot="5400000">
          <a:off x="12309113" y="7330486"/>
          <a:ext cx="876514" cy="1905123"/>
          <a:chOff x="1807006" y="1248832"/>
          <a:chExt cx="896222" cy="1397001"/>
        </a:xfrm>
      </xdr:grpSpPr>
      <xdr:sp macro="[0]!TRAFICO" textlink="">
        <xdr:nvSpPr>
          <xdr:cNvPr id="33" name="Octágono 32">
            <a:extLst>
              <a:ext uri="{FF2B5EF4-FFF2-40B4-BE49-F238E27FC236}">
                <a16:creationId xmlns:a16="http://schemas.microsoft.com/office/drawing/2014/main" id="{00000000-0008-0000-0500-000021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TRAFICO" textlink="">
        <xdr:nvSpPr>
          <xdr:cNvPr id="34" name="CuadroTexto 33">
            <a:extLst>
              <a:ext uri="{FF2B5EF4-FFF2-40B4-BE49-F238E27FC236}">
                <a16:creationId xmlns:a16="http://schemas.microsoft.com/office/drawing/2014/main" id="{00000000-0008-0000-0500-000022000000}"/>
              </a:ext>
            </a:extLst>
          </xdr:cNvPr>
          <xdr:cNvSpPr txBox="1"/>
        </xdr:nvSpPr>
        <xdr:spPr>
          <a:xfrm rot="16200000">
            <a:off x="1624662" y="1509383"/>
            <a:ext cx="1260910" cy="896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baseline="0">
                <a:solidFill>
                  <a:sysClr val="windowText" lastClr="000000"/>
                </a:solidFill>
                <a:latin typeface="PT Sans Narrow" panose="020B0506020203020204" pitchFamily="34" charset="0"/>
              </a:rPr>
              <a:t>Para saber los distintos tipos de cargas aproximadas en camiones. Da clic acá</a:t>
            </a:r>
            <a:endParaRPr lang="es-CO" sz="1100" b="1">
              <a:solidFill>
                <a:sysClr val="windowText" lastClr="000000"/>
              </a:solidFill>
              <a:latin typeface="PT Sans Narrow" panose="020B0506020203020204" pitchFamily="34"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750794</xdr:colOff>
      <xdr:row>91</xdr:row>
      <xdr:rowOff>188398</xdr:rowOff>
    </xdr:from>
    <xdr:to>
      <xdr:col>15</xdr:col>
      <xdr:colOff>11206</xdr:colOff>
      <xdr:row>93</xdr:row>
      <xdr:rowOff>170903</xdr:rowOff>
    </xdr:to>
    <xdr:sp macro="" textlink="">
      <xdr:nvSpPr>
        <xdr:cNvPr id="12" name="Forma libre: forma 11">
          <a:extLst>
            <a:ext uri="{FF2B5EF4-FFF2-40B4-BE49-F238E27FC236}">
              <a16:creationId xmlns:a16="http://schemas.microsoft.com/office/drawing/2014/main" id="{00000000-0008-0000-0600-00000C000000}"/>
            </a:ext>
          </a:extLst>
        </xdr:cNvPr>
        <xdr:cNvSpPr>
          <a:spLocks noChangeAspect="1"/>
        </xdr:cNvSpPr>
      </xdr:nvSpPr>
      <xdr:spPr>
        <a:xfrm>
          <a:off x="3798794" y="17523898"/>
          <a:ext cx="7642412" cy="363505"/>
        </a:xfrm>
        <a:custGeom>
          <a:avLst/>
          <a:gdLst>
            <a:gd name="connsiteX0" fmla="*/ 0 w 6890994"/>
            <a:gd name="connsiteY0" fmla="*/ 0 h 363505"/>
            <a:gd name="connsiteX1" fmla="*/ 6890994 w 6890994"/>
            <a:gd name="connsiteY1" fmla="*/ 0 h 363505"/>
            <a:gd name="connsiteX2" fmla="*/ 6890994 w 6890994"/>
            <a:gd name="connsiteY2" fmla="*/ 73702 h 363505"/>
            <a:gd name="connsiteX3" fmla="*/ 6601228 w 6890994"/>
            <a:gd name="connsiteY3" fmla="*/ 363505 h 363505"/>
            <a:gd name="connsiteX4" fmla="*/ 289766 w 6890994"/>
            <a:gd name="connsiteY4" fmla="*/ 363505 h 363505"/>
            <a:gd name="connsiteX5" fmla="*/ 0 w 6890994"/>
            <a:gd name="connsiteY5" fmla="*/ 73702 h 3635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890994" h="363505">
              <a:moveTo>
                <a:pt x="0" y="0"/>
              </a:moveTo>
              <a:lnTo>
                <a:pt x="6890994" y="0"/>
              </a:lnTo>
              <a:lnTo>
                <a:pt x="6890994" y="73702"/>
              </a:lnTo>
              <a:cubicBezTo>
                <a:pt x="6890994" y="233755"/>
                <a:pt x="6761261" y="363505"/>
                <a:pt x="6601228" y="363505"/>
              </a:cubicBezTo>
              <a:lnTo>
                <a:pt x="289766" y="363505"/>
              </a:lnTo>
              <a:cubicBezTo>
                <a:pt x="129733" y="363505"/>
                <a:pt x="0" y="233755"/>
                <a:pt x="0" y="73702"/>
              </a:cubicBezTo>
              <a:close/>
            </a:path>
          </a:pathLst>
        </a:cu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clientData/>
  </xdr:twoCellAnchor>
  <xdr:twoCellAnchor editAs="absolute">
    <xdr:from>
      <xdr:col>5</xdr:col>
      <xdr:colOff>0</xdr:colOff>
      <xdr:row>90</xdr:row>
      <xdr:rowOff>48946</xdr:rowOff>
    </xdr:from>
    <xdr:to>
      <xdr:col>8</xdr:col>
      <xdr:colOff>419288</xdr:colOff>
      <xdr:row>93</xdr:row>
      <xdr:rowOff>172211</xdr:rowOff>
    </xdr:to>
    <xdr:sp macro="" textlink="">
      <xdr:nvSpPr>
        <xdr:cNvPr id="34" name="Marcador de texto 2">
          <a:extLst>
            <a:ext uri="{FF2B5EF4-FFF2-40B4-BE49-F238E27FC236}">
              <a16:creationId xmlns:a16="http://schemas.microsoft.com/office/drawing/2014/main" id="{00000000-0008-0000-0600-000022000000}"/>
            </a:ext>
          </a:extLst>
        </xdr:cNvPr>
        <xdr:cNvSpPr>
          <a:spLocks noGrp="1" noChangeAspect="1"/>
        </xdr:cNvSpPr>
      </xdr:nvSpPr>
      <xdr:spPr>
        <a:xfrm flipH="1" flipV="1">
          <a:off x="3810000" y="17193946"/>
          <a:ext cx="2705288"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8</xdr:col>
      <xdr:colOff>408081</xdr:colOff>
      <xdr:row>90</xdr:row>
      <xdr:rowOff>48946</xdr:rowOff>
    </xdr:from>
    <xdr:to>
      <xdr:col>11</xdr:col>
      <xdr:colOff>598582</xdr:colOff>
      <xdr:row>93</xdr:row>
      <xdr:rowOff>172211</xdr:rowOff>
    </xdr:to>
    <xdr:sp macro="" textlink="">
      <xdr:nvSpPr>
        <xdr:cNvPr id="35" name="Marcador de texto 2">
          <a:extLst>
            <a:ext uri="{FF2B5EF4-FFF2-40B4-BE49-F238E27FC236}">
              <a16:creationId xmlns:a16="http://schemas.microsoft.com/office/drawing/2014/main" id="{00000000-0008-0000-0600-000023000000}"/>
            </a:ext>
          </a:extLst>
        </xdr:cNvPr>
        <xdr:cNvSpPr>
          <a:spLocks noGrp="1" noChangeAspect="1"/>
        </xdr:cNvSpPr>
      </xdr:nvSpPr>
      <xdr:spPr>
        <a:xfrm>
          <a:off x="6504081" y="17193946"/>
          <a:ext cx="2476501"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13</xdr:col>
      <xdr:colOff>271744</xdr:colOff>
      <xdr:row>90</xdr:row>
      <xdr:rowOff>59529</xdr:rowOff>
    </xdr:from>
    <xdr:to>
      <xdr:col>14</xdr:col>
      <xdr:colOff>758267</xdr:colOff>
      <xdr:row>93</xdr:row>
      <xdr:rowOff>182794</xdr:rowOff>
    </xdr:to>
    <xdr:sp macro="" textlink="">
      <xdr:nvSpPr>
        <xdr:cNvPr id="36" name="Marcador de texto 2">
          <a:extLst>
            <a:ext uri="{FF2B5EF4-FFF2-40B4-BE49-F238E27FC236}">
              <a16:creationId xmlns:a16="http://schemas.microsoft.com/office/drawing/2014/main" id="{00000000-0008-0000-0600-000024000000}"/>
            </a:ext>
          </a:extLst>
        </xdr:cNvPr>
        <xdr:cNvSpPr>
          <a:spLocks noGrp="1" noChangeAspect="1"/>
        </xdr:cNvSpPr>
      </xdr:nvSpPr>
      <xdr:spPr>
        <a:xfrm flipV="1">
          <a:off x="10177744" y="17204529"/>
          <a:ext cx="1248523"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11</xdr:col>
      <xdr:colOff>444498</xdr:colOff>
      <xdr:row>90</xdr:row>
      <xdr:rowOff>59527</xdr:rowOff>
    </xdr:from>
    <xdr:to>
      <xdr:col>13</xdr:col>
      <xdr:colOff>275164</xdr:colOff>
      <xdr:row>93</xdr:row>
      <xdr:rowOff>182792</xdr:rowOff>
    </xdr:to>
    <xdr:sp macro="" textlink="">
      <xdr:nvSpPr>
        <xdr:cNvPr id="37" name="Marcador de texto 2">
          <a:extLst>
            <a:ext uri="{FF2B5EF4-FFF2-40B4-BE49-F238E27FC236}">
              <a16:creationId xmlns:a16="http://schemas.microsoft.com/office/drawing/2014/main" id="{00000000-0008-0000-0600-000025000000}"/>
            </a:ext>
          </a:extLst>
        </xdr:cNvPr>
        <xdr:cNvSpPr>
          <a:spLocks noGrp="1" noChangeAspect="1"/>
        </xdr:cNvSpPr>
      </xdr:nvSpPr>
      <xdr:spPr>
        <a:xfrm flipH="1" flipV="1">
          <a:off x="8826498" y="17204527"/>
          <a:ext cx="1354666"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8182" r="-91521"/>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15</xdr:col>
      <xdr:colOff>681067</xdr:colOff>
      <xdr:row>89</xdr:row>
      <xdr:rowOff>83345</xdr:rowOff>
    </xdr:from>
    <xdr:to>
      <xdr:col>17</xdr:col>
      <xdr:colOff>858119</xdr:colOff>
      <xdr:row>93</xdr:row>
      <xdr:rowOff>114907</xdr:rowOff>
    </xdr:to>
    <xdr:pic>
      <xdr:nvPicPr>
        <xdr:cNvPr id="2" name="Orbia Logo" descr="Pavc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11067" y="17037845"/>
          <a:ext cx="1701052" cy="793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148172</xdr:colOff>
      <xdr:row>90</xdr:row>
      <xdr:rowOff>168017</xdr:rowOff>
    </xdr:from>
    <xdr:to>
      <xdr:col>2</xdr:col>
      <xdr:colOff>499732</xdr:colOff>
      <xdr:row>92</xdr:row>
      <xdr:rowOff>137492</xdr:rowOff>
    </xdr:to>
    <xdr:pic>
      <xdr:nvPicPr>
        <xdr:cNvPr id="4" name="LinkedIn">
          <a:hlinkClick xmlns:r="http://schemas.openxmlformats.org/officeDocument/2006/relationships" r:id="rId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72172" y="17313017"/>
          <a:ext cx="351560" cy="350475"/>
        </a:xfrm>
        <a:prstGeom prst="rect">
          <a:avLst/>
        </a:prstGeom>
      </xdr:spPr>
    </xdr:pic>
    <xdr:clientData/>
  </xdr:twoCellAnchor>
  <xdr:twoCellAnchor editAs="absolute">
    <xdr:from>
      <xdr:col>1</xdr:col>
      <xdr:colOff>253104</xdr:colOff>
      <xdr:row>91</xdr:row>
      <xdr:rowOff>51598</xdr:rowOff>
    </xdr:from>
    <xdr:to>
      <xdr:col>1</xdr:col>
      <xdr:colOff>658474</xdr:colOff>
      <xdr:row>92</xdr:row>
      <xdr:rowOff>173473</xdr:rowOff>
    </xdr:to>
    <xdr:pic>
      <xdr:nvPicPr>
        <xdr:cNvPr id="6" name="YouTube">
          <a:hlinkClick xmlns:r="http://schemas.openxmlformats.org/officeDocument/2006/relationships" r:id="rId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15104" y="17387098"/>
          <a:ext cx="405370" cy="312375"/>
        </a:xfrm>
        <a:prstGeom prst="rect">
          <a:avLst/>
        </a:prstGeom>
      </xdr:spPr>
    </xdr:pic>
    <xdr:clientData/>
  </xdr:twoCellAnchor>
  <xdr:twoCellAnchor editAs="absolute">
    <xdr:from>
      <xdr:col>0</xdr:col>
      <xdr:colOff>412754</xdr:colOff>
      <xdr:row>90</xdr:row>
      <xdr:rowOff>168017</xdr:rowOff>
    </xdr:from>
    <xdr:to>
      <xdr:col>1</xdr:col>
      <xdr:colOff>1405</xdr:colOff>
      <xdr:row>92</xdr:row>
      <xdr:rowOff>137492</xdr:rowOff>
    </xdr:to>
    <xdr:pic>
      <xdr:nvPicPr>
        <xdr:cNvPr id="5" name="Facebook">
          <a:hlinkClick xmlns:r="http://schemas.openxmlformats.org/officeDocument/2006/relationships" r:id="rId7"/>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12754" y="17313017"/>
          <a:ext cx="350651" cy="350475"/>
        </a:xfrm>
        <a:prstGeom prst="rect">
          <a:avLst/>
        </a:prstGeom>
      </xdr:spPr>
    </xdr:pic>
    <xdr:clientData/>
  </xdr:twoCellAnchor>
  <xdr:twoCellAnchor editAs="absolute">
    <xdr:from>
      <xdr:col>0</xdr:col>
      <xdr:colOff>0</xdr:colOff>
      <xdr:row>70</xdr:row>
      <xdr:rowOff>93948</xdr:rowOff>
    </xdr:from>
    <xdr:to>
      <xdr:col>4</xdr:col>
      <xdr:colOff>285750</xdr:colOff>
      <xdr:row>90</xdr:row>
      <xdr:rowOff>180470</xdr:rowOff>
    </xdr:to>
    <xdr:sp macro="" textlink="">
      <xdr:nvSpPr>
        <xdr:cNvPr id="3" name="Info Pavco">
          <a:extLst>
            <a:ext uri="{FF2B5EF4-FFF2-40B4-BE49-F238E27FC236}">
              <a16:creationId xmlns:a16="http://schemas.microsoft.com/office/drawing/2014/main" id="{00000000-0008-0000-0600-000003000000}"/>
            </a:ext>
          </a:extLst>
        </xdr:cNvPr>
        <xdr:cNvSpPr txBox="1">
          <a:spLocks noChangeAspect="1"/>
        </xdr:cNvSpPr>
      </xdr:nvSpPr>
      <xdr:spPr>
        <a:xfrm>
          <a:off x="0" y="13428948"/>
          <a:ext cx="3333750" cy="38965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i="0">
              <a:solidFill>
                <a:schemeClr val="bg1"/>
              </a:solidFill>
              <a:effectLst/>
              <a:latin typeface="PT Sans Narrow" panose="020B0506020203020204" pitchFamily="34" charset="0"/>
              <a:ea typeface="+mn-ea"/>
              <a:cs typeface="+mn-cs"/>
            </a:rPr>
            <a:t>Bogotá: Autopista Sur # 71-75.</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(601) 782 5000 Ext.:1101 Fax: +57 (601) 782 5020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Cali: Calle 64 Norte 5BN 46. Oficina R01, Centro Empresa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(602) 829 8969 EXT 2809</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Bucaramanga: Calle 30 # 22-129 Oficina 1802, Floridablanca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+57 314 330 2331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Barranquilla: Conmutador: +57 (605) 375 8100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0041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Itagüí - Antioquia: Calle 27 # 41-80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(604) 325 6660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Eje Cafetero: Carrera 17 # 5-58 Oficina 304 , Pereira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0025</a:t>
          </a:r>
          <a:endParaRPr lang="es-CO" sz="1200" b="1">
            <a:solidFill>
              <a:schemeClr val="bg1"/>
            </a:solidFill>
            <a:latin typeface="PT Sans Narrow" panose="020B0506020203020204" pitchFamily="34" charset="0"/>
          </a:endParaRPr>
        </a:p>
      </xdr:txBody>
    </xdr:sp>
    <xdr:clientData/>
  </xdr:twoCellAnchor>
  <xdr:twoCellAnchor editAs="absolute">
    <xdr:from>
      <xdr:col>8</xdr:col>
      <xdr:colOff>44981</xdr:colOff>
      <xdr:row>52</xdr:row>
      <xdr:rowOff>92605</xdr:rowOff>
    </xdr:from>
    <xdr:to>
      <xdr:col>14</xdr:col>
      <xdr:colOff>743481</xdr:colOff>
      <xdr:row>88</xdr:row>
      <xdr:rowOff>41010</xdr:rowOff>
    </xdr:to>
    <mc:AlternateContent xmlns:mc="http://schemas.openxmlformats.org/markup-compatibility/2006" xmlns:a14="http://schemas.microsoft.com/office/drawing/2010/main">
      <mc:Choice Requires="a14">
        <xdr:sp macro="" textlink="">
          <xdr:nvSpPr>
            <xdr:cNvPr id="42" name="Ecucaciones TDV">
              <a:extLst>
                <a:ext uri="{FF2B5EF4-FFF2-40B4-BE49-F238E27FC236}">
                  <a16:creationId xmlns:a16="http://schemas.microsoft.com/office/drawing/2014/main" id="{00000000-0008-0000-0600-00002A000000}"/>
                </a:ext>
              </a:extLst>
            </xdr:cNvPr>
            <xdr:cNvSpPr txBox="1">
              <a:spLocks noChangeAspect="1"/>
            </xdr:cNvSpPr>
          </xdr:nvSpPr>
          <xdr:spPr>
            <a:xfrm>
              <a:off x="6140981" y="9998605"/>
              <a:ext cx="5270500" cy="680640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14:m>
                <m:oMath xmlns:m="http://schemas.openxmlformats.org/officeDocument/2006/math">
                  <m:r>
                    <a:rPr lang="es-ES" sz="1800" b="0" i="1">
                      <a:solidFill>
                        <a:schemeClr val="bg1"/>
                      </a:solidFill>
                      <a:effectLst/>
                      <a:latin typeface="Cambria Math" panose="02040503050406030204" pitchFamily="18" charset="0"/>
                      <a:ea typeface="+mn-ea"/>
                      <a:cs typeface="+mn-cs"/>
                    </a:rPr>
                    <m:t>𝐴</m:t>
                  </m:r>
                  <m:d>
                    <m:dPr>
                      <m:ctrlPr>
                        <a:rPr lang="es-ES" sz="1800" b="0" i="1">
                          <a:solidFill>
                            <a:schemeClr val="bg1"/>
                          </a:solidFill>
                          <a:effectLst/>
                          <a:latin typeface="Cambria Math" panose="02040503050406030204" pitchFamily="18" charset="0"/>
                          <a:ea typeface="+mn-ea"/>
                          <a:cs typeface="+mn-cs"/>
                        </a:rPr>
                      </m:ctrlPr>
                    </m:dPr>
                    <m:e>
                      <m:r>
                        <a:rPr lang="es-ES" sz="1800" b="0" i="1">
                          <a:solidFill>
                            <a:schemeClr val="bg1"/>
                          </a:solidFill>
                          <a:effectLst/>
                          <a:latin typeface="Cambria Math" panose="02040503050406030204" pitchFamily="18" charset="0"/>
                          <a:ea typeface="+mn-ea"/>
                          <a:cs typeface="+mn-cs"/>
                        </a:rPr>
                        <m:t>h</m:t>
                      </m:r>
                    </m:e>
                  </m:d>
                  <m:f>
                    <m:fPr>
                      <m:ctrlPr>
                        <a:rPr lang="es-ES" sz="1800" b="0" i="1">
                          <a:solidFill>
                            <a:schemeClr val="bg1"/>
                          </a:solidFill>
                          <a:latin typeface="Cambria Math" panose="02040503050406030204" pitchFamily="18" charset="0"/>
                        </a:rPr>
                      </m:ctrlPr>
                    </m:fPr>
                    <m:num>
                      <m:r>
                        <a:rPr lang="es-ES" sz="1800" b="0" i="1">
                          <a:solidFill>
                            <a:schemeClr val="bg1"/>
                          </a:solidFill>
                          <a:latin typeface="Cambria Math" panose="02040503050406030204" pitchFamily="18" charset="0"/>
                        </a:rPr>
                        <m:t>𝑑h</m:t>
                      </m:r>
                    </m:num>
                    <m:den>
                      <m:r>
                        <a:rPr lang="es-ES" sz="1800" b="0" i="1">
                          <a:solidFill>
                            <a:schemeClr val="bg1"/>
                          </a:solidFill>
                          <a:latin typeface="Cambria Math" panose="02040503050406030204" pitchFamily="18" charset="0"/>
                        </a:rPr>
                        <m:t>𝑑𝑡</m:t>
                      </m:r>
                    </m:den>
                  </m:f>
                  <m:r>
                    <a:rPr lang="es-ES" sz="1800" b="0" i="1">
                      <a:solidFill>
                        <a:schemeClr val="bg1"/>
                      </a:solidFill>
                      <a:latin typeface="Cambria Math" panose="02040503050406030204" pitchFamily="18" charset="0"/>
                    </a:rPr>
                    <m:t>=−</m:t>
                  </m:r>
                  <m:r>
                    <a:rPr lang="es-ES" sz="1800" b="0" i="1">
                      <a:solidFill>
                        <a:schemeClr val="bg1"/>
                      </a:solidFill>
                      <a:latin typeface="Cambria Math" panose="02040503050406030204" pitchFamily="18" charset="0"/>
                    </a:rPr>
                    <m:t>𝑎𝑐</m:t>
                  </m:r>
                  <m:rad>
                    <m:radPr>
                      <m:degHide m:val="on"/>
                      <m:ctrlPr>
                        <a:rPr lang="es-ES" sz="1800" b="0" i="1">
                          <a:solidFill>
                            <a:schemeClr val="bg1"/>
                          </a:solidFill>
                          <a:latin typeface="Cambria Math" panose="02040503050406030204" pitchFamily="18" charset="0"/>
                        </a:rPr>
                      </m:ctrlPr>
                    </m:radPr>
                    <m:deg/>
                    <m:e>
                      <m:r>
                        <a:rPr lang="es-ES" sz="1800" b="0" i="1">
                          <a:solidFill>
                            <a:schemeClr val="bg1"/>
                          </a:solidFill>
                          <a:latin typeface="Cambria Math" panose="02040503050406030204" pitchFamily="18" charset="0"/>
                        </a:rPr>
                        <m:t>2</m:t>
                      </m:r>
                      <m:r>
                        <a:rPr lang="es-ES" sz="1800" b="0" i="1">
                          <a:solidFill>
                            <a:schemeClr val="bg1"/>
                          </a:solidFill>
                          <a:latin typeface="Cambria Math" panose="02040503050406030204" pitchFamily="18" charset="0"/>
                        </a:rPr>
                        <m:t>𝑔h</m:t>
                      </m:r>
                    </m:e>
                  </m:rad>
                </m:oMath>
              </a14:m>
              <a:r>
                <a:rPr lang="es-CO" sz="1800">
                  <a:solidFill>
                    <a:schemeClr val="bg1"/>
                  </a:solidFill>
                </a:rPr>
                <a:t>	</a:t>
              </a:r>
            </a:p>
            <a:p>
              <a:pPr algn="l"/>
              <a:endParaRPr lang="es-CO" sz="1800" b="0" i="1">
                <a:solidFill>
                  <a:schemeClr val="bg1"/>
                </a:solidFill>
                <a:latin typeface="Cambria Math" panose="02040503050406030204" pitchFamily="18" charset="0"/>
              </a:endParaRPr>
            </a:p>
            <a:p>
              <a:pPr algn="l"/>
              <a14:m>
                <m:oMathPara xmlns:m="http://schemas.openxmlformats.org/officeDocument/2006/math">
                  <m:oMathParaPr>
                    <m:jc m:val="left"/>
                  </m:oMathParaPr>
                  <m:oMath xmlns:m="http://schemas.openxmlformats.org/officeDocument/2006/math">
                    <m:r>
                      <a:rPr lang="es-ES" sz="1400" b="0" i="1">
                        <a:solidFill>
                          <a:schemeClr val="bg1"/>
                        </a:solidFill>
                        <a:latin typeface="Cambria Math" panose="02040503050406030204" pitchFamily="18" charset="0"/>
                      </a:rPr>
                      <m:t>𝐴</m:t>
                    </m:r>
                    <m:r>
                      <a:rPr lang="es-ES" sz="1400" b="0" i="1">
                        <a:solidFill>
                          <a:schemeClr val="bg1"/>
                        </a:solidFill>
                        <a:latin typeface="Cambria Math" panose="02040503050406030204" pitchFamily="18" charset="0"/>
                      </a:rPr>
                      <m:t>=Á</m:t>
                    </m:r>
                    <m:r>
                      <a:rPr lang="es-ES" sz="1400" b="0" i="1">
                        <a:solidFill>
                          <a:schemeClr val="bg1"/>
                        </a:solidFill>
                        <a:latin typeface="Cambria Math" panose="02040503050406030204" pitchFamily="18" charset="0"/>
                      </a:rPr>
                      <m:t>𝑟𝑒𝑎</m:t>
                    </m:r>
                    <m:r>
                      <a:rPr lang="es-ES" sz="1400" b="0" i="1">
                        <a:solidFill>
                          <a:schemeClr val="bg1"/>
                        </a:solidFill>
                        <a:latin typeface="Cambria Math" panose="02040503050406030204" pitchFamily="18" charset="0"/>
                      </a:rPr>
                      <m:t> </m:t>
                    </m:r>
                    <m:r>
                      <a:rPr lang="es-ES" sz="1400" b="0" i="1">
                        <a:solidFill>
                          <a:schemeClr val="bg1"/>
                        </a:solidFill>
                        <a:latin typeface="Cambria Math" panose="02040503050406030204" pitchFamily="18" charset="0"/>
                      </a:rPr>
                      <m:t>𝑑𝑒</m:t>
                    </m:r>
                    <m:r>
                      <a:rPr lang="es-ES" sz="1400" b="0" i="1">
                        <a:solidFill>
                          <a:schemeClr val="bg1"/>
                        </a:solidFill>
                        <a:latin typeface="Cambria Math" panose="02040503050406030204" pitchFamily="18" charset="0"/>
                      </a:rPr>
                      <m:t> </m:t>
                    </m:r>
                    <m:r>
                      <a:rPr lang="es-ES" sz="1400" b="0" i="1">
                        <a:solidFill>
                          <a:schemeClr val="bg1"/>
                        </a:solidFill>
                        <a:latin typeface="Cambria Math" panose="02040503050406030204" pitchFamily="18" charset="0"/>
                      </a:rPr>
                      <m:t>𝑙𝑎</m:t>
                    </m:r>
                    <m:r>
                      <a:rPr lang="es-ES" sz="1400" b="0" i="1">
                        <a:solidFill>
                          <a:schemeClr val="bg1"/>
                        </a:solidFill>
                        <a:latin typeface="Cambria Math" panose="02040503050406030204" pitchFamily="18" charset="0"/>
                      </a:rPr>
                      <m:t> </m:t>
                    </m:r>
                    <m:r>
                      <a:rPr lang="es-ES" sz="1400" b="0" i="1">
                        <a:solidFill>
                          <a:schemeClr val="bg1"/>
                        </a:solidFill>
                        <a:latin typeface="Cambria Math" panose="02040503050406030204" pitchFamily="18" charset="0"/>
                      </a:rPr>
                      <m:t>𝑠𝑒𝑐𝑐𝑖</m:t>
                    </m:r>
                    <m:r>
                      <m:rPr>
                        <m:sty m:val="p"/>
                      </m:rPr>
                      <a:rPr lang="es-ES" sz="1400" b="0" i="1">
                        <a:solidFill>
                          <a:schemeClr val="bg1"/>
                        </a:solidFill>
                        <a:latin typeface="Cambria Math" panose="02040503050406030204" pitchFamily="18" charset="0"/>
                      </a:rPr>
                      <m:t>o</m:t>
                    </m:r>
                    <m:r>
                      <a:rPr lang="es-ES" sz="1400" b="0" i="1">
                        <a:solidFill>
                          <a:schemeClr val="bg1"/>
                        </a:solidFill>
                        <a:latin typeface="Cambria Math" panose="02040503050406030204" pitchFamily="18" charset="0"/>
                      </a:rPr>
                      <m:t>𝑛</m:t>
                    </m:r>
                    <m:r>
                      <a:rPr lang="es-ES" sz="1400" b="0" i="1">
                        <a:solidFill>
                          <a:schemeClr val="bg1"/>
                        </a:solidFill>
                        <a:latin typeface="Cambria Math" panose="02040503050406030204" pitchFamily="18" charset="0"/>
                      </a:rPr>
                      <m:t> </m:t>
                    </m:r>
                    <m:r>
                      <a:rPr lang="es-ES" sz="1400" b="0" i="1">
                        <a:solidFill>
                          <a:schemeClr val="bg1"/>
                        </a:solidFill>
                        <a:latin typeface="Cambria Math" panose="02040503050406030204" pitchFamily="18" charset="0"/>
                      </a:rPr>
                      <m:t>𝑑𝑒𝑙</m:t>
                    </m:r>
                    <m:r>
                      <a:rPr lang="es-ES" sz="1400" b="0" i="1">
                        <a:solidFill>
                          <a:schemeClr val="bg1"/>
                        </a:solidFill>
                        <a:latin typeface="Cambria Math" panose="02040503050406030204" pitchFamily="18" charset="0"/>
                      </a:rPr>
                      <m:t> </m:t>
                    </m:r>
                    <m:r>
                      <a:rPr lang="es-ES" sz="1400" b="0" i="1">
                        <a:solidFill>
                          <a:schemeClr val="bg1"/>
                        </a:solidFill>
                        <a:latin typeface="Cambria Math" panose="02040503050406030204" pitchFamily="18" charset="0"/>
                      </a:rPr>
                      <m:t>𝑡𝑎𝑛𝑞𝑢𝑒</m:t>
                    </m:r>
                  </m:oMath>
                </m:oMathPara>
              </a14:m>
              <a:endParaRPr lang="es-CO" sz="1800">
                <a:solidFill>
                  <a:schemeClr val="bg1"/>
                </a:solidFill>
              </a:endParaRPr>
            </a:p>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s-ES" sz="1400" b="0" i="1">
                      <a:solidFill>
                        <a:schemeClr val="bg1"/>
                      </a:solidFill>
                      <a:effectLst/>
                      <a:latin typeface="Cambria Math" panose="02040503050406030204" pitchFamily="18" charset="0"/>
                      <a:ea typeface="+mn-ea"/>
                      <a:cs typeface="+mn-cs"/>
                    </a:rPr>
                    <m:t>𝑎</m:t>
                  </m:r>
                  <m:r>
                    <a:rPr lang="es-ES" sz="1400" b="0" i="1">
                      <a:solidFill>
                        <a:schemeClr val="bg1"/>
                      </a:solidFill>
                      <a:effectLst/>
                      <a:latin typeface="Cambria Math" panose="02040503050406030204" pitchFamily="18" charset="0"/>
                      <a:ea typeface="+mn-ea"/>
                      <a:cs typeface="+mn-cs"/>
                    </a:rPr>
                    <m:t>=Á</m:t>
                  </m:r>
                  <m:r>
                    <a:rPr lang="es-ES" sz="1400" b="0" i="1">
                      <a:solidFill>
                        <a:schemeClr val="bg1"/>
                      </a:solidFill>
                      <a:effectLst/>
                      <a:latin typeface="Cambria Math" panose="02040503050406030204" pitchFamily="18" charset="0"/>
                      <a:ea typeface="+mn-ea"/>
                      <a:cs typeface="+mn-cs"/>
                    </a:rPr>
                    <m:t>𝑟𝑒𝑎</m:t>
                  </m:r>
                  <m:r>
                    <a:rPr lang="es-ES" sz="1400" b="0" i="1">
                      <a:solidFill>
                        <a:schemeClr val="bg1"/>
                      </a:solidFill>
                      <a:effectLst/>
                      <a:latin typeface="Cambria Math" panose="02040503050406030204" pitchFamily="18" charset="0"/>
                      <a:ea typeface="+mn-ea"/>
                      <a:cs typeface="+mn-cs"/>
                    </a:rPr>
                    <m:t> </m:t>
                  </m:r>
                  <m:r>
                    <a:rPr lang="es-ES" sz="1400" b="0" i="1">
                      <a:solidFill>
                        <a:schemeClr val="bg1"/>
                      </a:solidFill>
                      <a:effectLst/>
                      <a:latin typeface="Cambria Math" panose="02040503050406030204" pitchFamily="18" charset="0"/>
                      <a:ea typeface="+mn-ea"/>
                      <a:cs typeface="+mn-cs"/>
                    </a:rPr>
                    <m:t>𝑑𝑒𝑙</m:t>
                  </m:r>
                  <m:r>
                    <a:rPr lang="es-ES" sz="1400" b="0" i="1">
                      <a:solidFill>
                        <a:schemeClr val="bg1"/>
                      </a:solidFill>
                      <a:effectLst/>
                      <a:latin typeface="Cambria Math" panose="02040503050406030204" pitchFamily="18" charset="0"/>
                      <a:ea typeface="+mn-ea"/>
                      <a:cs typeface="+mn-cs"/>
                    </a:rPr>
                    <m:t> </m:t>
                  </m:r>
                  <m:r>
                    <a:rPr lang="es-ES" sz="1400" b="0" i="1">
                      <a:solidFill>
                        <a:schemeClr val="bg1"/>
                      </a:solidFill>
                      <a:effectLst/>
                      <a:latin typeface="Cambria Math" panose="02040503050406030204" pitchFamily="18" charset="0"/>
                      <a:ea typeface="+mn-ea"/>
                      <a:cs typeface="+mn-cs"/>
                    </a:rPr>
                    <m:t>𝑜𝑟𝑖𝑓𝑖𝑐𝑖𝑜</m:t>
                  </m:r>
                  <m:r>
                    <a:rPr lang="es-ES" sz="1400" b="0" i="1">
                      <a:solidFill>
                        <a:schemeClr val="bg1"/>
                      </a:solidFill>
                      <a:effectLst/>
                      <a:latin typeface="Cambria Math" panose="02040503050406030204" pitchFamily="18" charset="0"/>
                      <a:ea typeface="+mn-ea"/>
                      <a:cs typeface="+mn-cs"/>
                    </a:rPr>
                    <m:t> </m:t>
                  </m:r>
                  <m:r>
                    <a:rPr lang="es-ES" sz="1400" b="0" i="1">
                      <a:solidFill>
                        <a:schemeClr val="bg1"/>
                      </a:solidFill>
                      <a:effectLst/>
                      <a:latin typeface="Cambria Math" panose="02040503050406030204" pitchFamily="18" charset="0"/>
                      <a:ea typeface="+mn-ea"/>
                      <a:cs typeface="+mn-cs"/>
                    </a:rPr>
                    <m:t>𝑑𝑒</m:t>
                  </m:r>
                  <m:r>
                    <a:rPr lang="es-ES" sz="1400" b="0" i="1">
                      <a:solidFill>
                        <a:schemeClr val="bg1"/>
                      </a:solidFill>
                      <a:effectLst/>
                      <a:latin typeface="Cambria Math" panose="02040503050406030204" pitchFamily="18" charset="0"/>
                      <a:ea typeface="+mn-ea"/>
                      <a:cs typeface="+mn-cs"/>
                    </a:rPr>
                    <m:t> </m:t>
                  </m:r>
                  <m:r>
                    <a:rPr lang="es-ES" sz="1400" b="0" i="1">
                      <a:solidFill>
                        <a:schemeClr val="bg1"/>
                      </a:solidFill>
                      <a:effectLst/>
                      <a:latin typeface="Cambria Math" panose="02040503050406030204" pitchFamily="18" charset="0"/>
                      <a:ea typeface="+mn-ea"/>
                      <a:cs typeface="+mn-cs"/>
                    </a:rPr>
                    <m:t>𝑠𝑎𝑙𝑖𝑑𝑎</m:t>
                  </m:r>
                </m:oMath>
              </a14:m>
              <a:r>
                <a:rPr lang="es-ES" sz="1800" b="0">
                  <a:solidFill>
                    <a:schemeClr val="bg1"/>
                  </a:solidFill>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es-ES" sz="1800" b="0" i="1">
                <a:solidFill>
                  <a:schemeClr val="bg1"/>
                </a:solidFill>
                <a:latin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s-ES" sz="1800" b="0" i="1">
                        <a:solidFill>
                          <a:schemeClr val="bg1"/>
                        </a:solidFill>
                        <a:latin typeface="Cambria Math" panose="02040503050406030204" pitchFamily="18" charset="0"/>
                      </a:rPr>
                      <m:t>𝐴</m:t>
                    </m:r>
                    <m:sSub>
                      <m:sSubPr>
                        <m:ctrlPr>
                          <a:rPr lang="es-ES" sz="1800" b="0" i="1">
                            <a:solidFill>
                              <a:schemeClr val="bg1"/>
                            </a:solidFill>
                            <a:latin typeface="Cambria Math" panose="02040503050406030204" pitchFamily="18" charset="0"/>
                          </a:rPr>
                        </m:ctrlPr>
                      </m:sSubPr>
                      <m:e>
                        <m:d>
                          <m:dPr>
                            <m:ctrlPr>
                              <a:rPr lang="es-ES" sz="1800" b="0" i="1">
                                <a:solidFill>
                                  <a:schemeClr val="bg1"/>
                                </a:solidFill>
                                <a:latin typeface="Cambria Math" panose="02040503050406030204" pitchFamily="18" charset="0"/>
                              </a:rPr>
                            </m:ctrlPr>
                          </m:dPr>
                          <m:e>
                            <m:r>
                              <a:rPr lang="es-ES" sz="1800" b="0" i="1">
                                <a:solidFill>
                                  <a:schemeClr val="bg1"/>
                                </a:solidFill>
                                <a:latin typeface="Cambria Math" panose="02040503050406030204" pitchFamily="18" charset="0"/>
                              </a:rPr>
                              <m:t>h</m:t>
                            </m:r>
                          </m:e>
                        </m:d>
                      </m:e>
                      <m:sub>
                        <m:r>
                          <a:rPr lang="es-ES" sz="1800" b="0" i="1">
                            <a:solidFill>
                              <a:schemeClr val="bg1"/>
                            </a:solidFill>
                            <a:latin typeface="Cambria Math" panose="02040503050406030204" pitchFamily="18" charset="0"/>
                          </a:rPr>
                          <m:t>𝐴𝑄𝑈𝐴𝐶𝐸𝐿𝐿</m:t>
                        </m:r>
                      </m:sub>
                    </m:sSub>
                    <m:r>
                      <a:rPr lang="es-ES" sz="1800" b="0" i="1">
                        <a:solidFill>
                          <a:schemeClr val="bg1"/>
                        </a:solidFill>
                        <a:latin typeface="Cambria Math" panose="02040503050406030204" pitchFamily="18" charset="0"/>
                      </a:rPr>
                      <m:t>=</m:t>
                    </m:r>
                    <m:r>
                      <a:rPr lang="es-ES" sz="1800" b="0" i="1">
                        <a:solidFill>
                          <a:schemeClr val="bg1"/>
                        </a:solidFill>
                        <a:latin typeface="Cambria Math" panose="02040503050406030204" pitchFamily="18" charset="0"/>
                      </a:rPr>
                      <m:t>𝐿</m:t>
                    </m:r>
                    <m:r>
                      <a:rPr lang="es-ES" sz="1800" b="0" i="1">
                        <a:solidFill>
                          <a:schemeClr val="bg1"/>
                        </a:solidFill>
                        <a:latin typeface="Cambria Math" panose="02040503050406030204" pitchFamily="18" charset="0"/>
                      </a:rPr>
                      <m:t>∗</m:t>
                    </m:r>
                    <m:r>
                      <a:rPr lang="es-ES" sz="1800" b="0" i="1">
                        <a:solidFill>
                          <a:schemeClr val="bg1"/>
                        </a:solidFill>
                        <a:latin typeface="Cambria Math" panose="02040503050406030204" pitchFamily="18" charset="0"/>
                      </a:rPr>
                      <m:t>𝑊</m:t>
                    </m:r>
                  </m:oMath>
                </m:oMathPara>
              </a14:m>
              <a:endParaRPr lang="es-MX" sz="1800" b="0" i="1">
                <a:solidFill>
                  <a:schemeClr val="bg1"/>
                </a:solidFill>
                <a:latin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s-ES" sz="1800" b="0" i="1">
                <a:solidFill>
                  <a:schemeClr val="bg1"/>
                </a:solidFill>
                <a:latin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s-ES" sz="1800" b="0" i="1">
                        <a:solidFill>
                          <a:schemeClr val="bg1"/>
                        </a:solidFill>
                        <a:latin typeface="Cambria Math" panose="02040503050406030204" pitchFamily="18" charset="0"/>
                      </a:rPr>
                      <m:t>𝑎</m:t>
                    </m:r>
                    <m:r>
                      <a:rPr lang="es-ES" sz="1800" b="0" i="1">
                        <a:solidFill>
                          <a:schemeClr val="bg1"/>
                        </a:solidFill>
                        <a:latin typeface="Cambria Math" panose="02040503050406030204" pitchFamily="18" charset="0"/>
                      </a:rPr>
                      <m:t>=</m:t>
                    </m:r>
                    <m:f>
                      <m:fPr>
                        <m:ctrlPr>
                          <a:rPr lang="es-ES" sz="1800" b="0" i="1">
                            <a:solidFill>
                              <a:schemeClr val="bg1"/>
                            </a:solidFill>
                            <a:latin typeface="Cambria Math" panose="02040503050406030204" pitchFamily="18" charset="0"/>
                            <a:ea typeface="Cambria Math" panose="02040503050406030204" pitchFamily="18" charset="0"/>
                          </a:rPr>
                        </m:ctrlPr>
                      </m:fPr>
                      <m:num>
                        <m:r>
                          <a:rPr lang="es-ES" sz="1800" b="0" i="1">
                            <a:solidFill>
                              <a:schemeClr val="bg1"/>
                            </a:solidFill>
                            <a:latin typeface="Cambria Math" panose="02040503050406030204" pitchFamily="18" charset="0"/>
                            <a:ea typeface="Cambria Math" panose="02040503050406030204" pitchFamily="18" charset="0"/>
                          </a:rPr>
                          <m:t>𝜋</m:t>
                        </m:r>
                      </m:num>
                      <m:den>
                        <m:r>
                          <a:rPr lang="es-ES" sz="1800" b="0" i="1">
                            <a:solidFill>
                              <a:schemeClr val="bg1"/>
                            </a:solidFill>
                            <a:latin typeface="Cambria Math" panose="02040503050406030204" pitchFamily="18" charset="0"/>
                            <a:ea typeface="Cambria Math" panose="02040503050406030204" pitchFamily="18" charset="0"/>
                          </a:rPr>
                          <m:t>4</m:t>
                        </m:r>
                      </m:den>
                    </m:f>
                    <m:sSup>
                      <m:sSupPr>
                        <m:ctrlPr>
                          <a:rPr lang="es-ES" sz="1800" b="0" i="1">
                            <a:solidFill>
                              <a:schemeClr val="bg1"/>
                            </a:solidFill>
                            <a:latin typeface="Cambria Math" panose="02040503050406030204" pitchFamily="18" charset="0"/>
                            <a:ea typeface="Cambria Math" panose="02040503050406030204" pitchFamily="18" charset="0"/>
                          </a:rPr>
                        </m:ctrlPr>
                      </m:sSupPr>
                      <m:e>
                        <m:r>
                          <a:rPr lang="es-ES" sz="1800" b="0" i="1">
                            <a:solidFill>
                              <a:schemeClr val="bg1"/>
                            </a:solidFill>
                            <a:latin typeface="Cambria Math" panose="02040503050406030204" pitchFamily="18" charset="0"/>
                            <a:ea typeface="Cambria Math" panose="02040503050406030204" pitchFamily="18" charset="0"/>
                          </a:rPr>
                          <m:t>𝐷</m:t>
                        </m:r>
                      </m:e>
                      <m:sup>
                        <m:r>
                          <a:rPr lang="es-ES" sz="1800" b="0" i="1">
                            <a:solidFill>
                              <a:schemeClr val="bg1"/>
                            </a:solidFill>
                            <a:latin typeface="Cambria Math" panose="02040503050406030204" pitchFamily="18" charset="0"/>
                            <a:ea typeface="Cambria Math" panose="02040503050406030204" pitchFamily="18" charset="0"/>
                          </a:rPr>
                          <m:t>2</m:t>
                        </m:r>
                      </m:sup>
                    </m:sSup>
                    <m:r>
                      <a:rPr lang="es-ES" sz="1800" b="0" i="1">
                        <a:solidFill>
                          <a:schemeClr val="bg1"/>
                        </a:solidFill>
                        <a:latin typeface="Cambria Math" panose="02040503050406030204" pitchFamily="18" charset="0"/>
                        <a:ea typeface="Cambria Math" panose="02040503050406030204" pitchFamily="18" charset="0"/>
                      </a:rPr>
                      <m:t> ;</m:t>
                    </m:r>
                    <m:r>
                      <a:rPr lang="es-ES" sz="1800" b="0" i="1">
                        <a:solidFill>
                          <a:schemeClr val="bg1"/>
                        </a:solidFill>
                        <a:latin typeface="Cambria Math" panose="02040503050406030204" pitchFamily="18" charset="0"/>
                        <a:ea typeface="Cambria Math" panose="02040503050406030204" pitchFamily="18" charset="0"/>
                      </a:rPr>
                      <m:t>𝑐</m:t>
                    </m:r>
                    <m:r>
                      <a:rPr lang="es-ES" sz="1800" b="0" i="1">
                        <a:solidFill>
                          <a:schemeClr val="bg1"/>
                        </a:solidFill>
                        <a:latin typeface="Cambria Math" panose="02040503050406030204" pitchFamily="18" charset="0"/>
                        <a:ea typeface="Cambria Math" panose="02040503050406030204" pitchFamily="18" charset="0"/>
                      </a:rPr>
                      <m:t>=0.82</m:t>
                    </m:r>
                  </m:oMath>
                </m:oMathPara>
              </a14:m>
              <a:endParaRPr lang="es-MX" sz="1800" b="0" i="1">
                <a:solidFill>
                  <a:schemeClr val="bg1"/>
                </a:solidFill>
                <a:latin typeface="Cambria Math" panose="02040503050406030204" pitchFamily="18" charset="0"/>
                <a:ea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s-ES" sz="1800" b="0" i="1">
                <a:solidFill>
                  <a:schemeClr val="bg1"/>
                </a:solidFill>
                <a:latin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ES" sz="1800" b="0" i="1">
                            <a:solidFill>
                              <a:schemeClr val="bg1"/>
                            </a:solidFill>
                            <a:latin typeface="Cambria Math" panose="02040503050406030204" pitchFamily="18" charset="0"/>
                          </a:rPr>
                        </m:ctrlPr>
                      </m:fPr>
                      <m:num>
                        <m:r>
                          <a:rPr lang="es-ES" sz="1800" b="0" i="1">
                            <a:solidFill>
                              <a:schemeClr val="bg1"/>
                            </a:solidFill>
                            <a:latin typeface="Cambria Math" panose="02040503050406030204" pitchFamily="18" charset="0"/>
                          </a:rPr>
                          <m:t>𝐴</m:t>
                        </m:r>
                        <m:d>
                          <m:dPr>
                            <m:ctrlPr>
                              <a:rPr lang="es-ES" sz="1800" b="0" i="1">
                                <a:solidFill>
                                  <a:schemeClr val="bg1"/>
                                </a:solidFill>
                                <a:latin typeface="Cambria Math" panose="02040503050406030204" pitchFamily="18" charset="0"/>
                              </a:rPr>
                            </m:ctrlPr>
                          </m:dPr>
                          <m:e>
                            <m:r>
                              <a:rPr lang="es-ES" sz="1800" b="0" i="1">
                                <a:solidFill>
                                  <a:schemeClr val="bg1"/>
                                </a:solidFill>
                                <a:latin typeface="Cambria Math" panose="02040503050406030204" pitchFamily="18" charset="0"/>
                              </a:rPr>
                              <m:t>h</m:t>
                            </m:r>
                          </m:e>
                        </m:d>
                      </m:num>
                      <m:den>
                        <m:r>
                          <a:rPr lang="es-ES" sz="1800" b="0" i="1">
                            <a:solidFill>
                              <a:schemeClr val="bg1"/>
                            </a:solidFill>
                            <a:latin typeface="Cambria Math" panose="02040503050406030204" pitchFamily="18" charset="0"/>
                          </a:rPr>
                          <m:t>𝑎𝑐</m:t>
                        </m:r>
                        <m:rad>
                          <m:radPr>
                            <m:degHide m:val="on"/>
                            <m:ctrlPr>
                              <a:rPr lang="es-ES" sz="1800" b="0" i="1">
                                <a:solidFill>
                                  <a:schemeClr val="bg1"/>
                                </a:solidFill>
                                <a:latin typeface="Cambria Math" panose="02040503050406030204" pitchFamily="18" charset="0"/>
                              </a:rPr>
                            </m:ctrlPr>
                          </m:radPr>
                          <m:deg/>
                          <m:e>
                            <m:r>
                              <a:rPr lang="es-ES" sz="1800" b="0" i="1">
                                <a:solidFill>
                                  <a:schemeClr val="bg1"/>
                                </a:solidFill>
                                <a:latin typeface="Cambria Math" panose="02040503050406030204" pitchFamily="18" charset="0"/>
                              </a:rPr>
                              <m:t>2</m:t>
                            </m:r>
                            <m:r>
                              <a:rPr lang="es-ES" sz="1800" b="0" i="1">
                                <a:solidFill>
                                  <a:schemeClr val="bg1"/>
                                </a:solidFill>
                                <a:latin typeface="Cambria Math" panose="02040503050406030204" pitchFamily="18" charset="0"/>
                              </a:rPr>
                              <m:t>𝑔</m:t>
                            </m:r>
                          </m:e>
                        </m:rad>
                      </m:den>
                    </m:f>
                    <m:nary>
                      <m:naryPr>
                        <m:limLoc m:val="undOvr"/>
                        <m:subHide m:val="on"/>
                        <m:supHide m:val="on"/>
                        <m:ctrlPr>
                          <a:rPr lang="es-ES" sz="1800" b="0" i="1">
                            <a:solidFill>
                              <a:schemeClr val="bg1"/>
                            </a:solidFill>
                            <a:latin typeface="Cambria Math" panose="02040503050406030204" pitchFamily="18" charset="0"/>
                          </a:rPr>
                        </m:ctrlPr>
                      </m:naryPr>
                      <m:sub/>
                      <m:sup/>
                      <m:e>
                        <m:f>
                          <m:fPr>
                            <m:ctrlPr>
                              <a:rPr lang="es-ES" sz="1800" b="0" i="1">
                                <a:solidFill>
                                  <a:schemeClr val="bg1"/>
                                </a:solidFill>
                                <a:latin typeface="Cambria Math" panose="02040503050406030204" pitchFamily="18" charset="0"/>
                              </a:rPr>
                            </m:ctrlPr>
                          </m:fPr>
                          <m:num>
                            <m:r>
                              <a:rPr lang="es-ES" sz="1800" b="0" i="1">
                                <a:solidFill>
                                  <a:schemeClr val="bg1"/>
                                </a:solidFill>
                                <a:latin typeface="Cambria Math" panose="02040503050406030204" pitchFamily="18" charset="0"/>
                              </a:rPr>
                              <m:t>𝑑h</m:t>
                            </m:r>
                          </m:num>
                          <m:den>
                            <m:rad>
                              <m:radPr>
                                <m:degHide m:val="on"/>
                                <m:ctrlPr>
                                  <a:rPr lang="es-ES" sz="1800" b="0" i="1">
                                    <a:solidFill>
                                      <a:schemeClr val="bg1"/>
                                    </a:solidFill>
                                    <a:latin typeface="Cambria Math" panose="02040503050406030204" pitchFamily="18" charset="0"/>
                                  </a:rPr>
                                </m:ctrlPr>
                              </m:radPr>
                              <m:deg/>
                              <m:e>
                                <m:r>
                                  <a:rPr lang="es-ES" sz="1800" b="0" i="1">
                                    <a:solidFill>
                                      <a:schemeClr val="bg1"/>
                                    </a:solidFill>
                                    <a:latin typeface="Cambria Math" panose="02040503050406030204" pitchFamily="18" charset="0"/>
                                  </a:rPr>
                                  <m:t>h</m:t>
                                </m:r>
                              </m:e>
                            </m:rad>
                          </m:den>
                        </m:f>
                        <m:r>
                          <a:rPr lang="es-ES" sz="1800" b="0" i="1">
                            <a:solidFill>
                              <a:schemeClr val="bg1"/>
                            </a:solidFill>
                            <a:latin typeface="Cambria Math" panose="02040503050406030204" pitchFamily="18" charset="0"/>
                          </a:rPr>
                          <m:t>=−</m:t>
                        </m:r>
                        <m:nary>
                          <m:naryPr>
                            <m:limLoc m:val="undOvr"/>
                            <m:subHide m:val="on"/>
                            <m:supHide m:val="on"/>
                            <m:ctrlPr>
                              <a:rPr lang="es-ES" sz="1800" b="0" i="1">
                                <a:solidFill>
                                  <a:schemeClr val="bg1"/>
                                </a:solidFill>
                                <a:latin typeface="Cambria Math" panose="02040503050406030204" pitchFamily="18" charset="0"/>
                              </a:rPr>
                            </m:ctrlPr>
                          </m:naryPr>
                          <m:sub/>
                          <m:sup/>
                          <m:e>
                            <m:r>
                              <a:rPr lang="es-ES" sz="1800" b="0" i="1">
                                <a:solidFill>
                                  <a:schemeClr val="bg1"/>
                                </a:solidFill>
                                <a:latin typeface="Cambria Math" panose="02040503050406030204" pitchFamily="18" charset="0"/>
                              </a:rPr>
                              <m:t>𝑑𝑡</m:t>
                            </m:r>
                          </m:e>
                        </m:nary>
                      </m:e>
                    </m:nary>
                    <m:r>
                      <a:rPr lang="es-ES" sz="1800" b="0" i="1">
                        <a:solidFill>
                          <a:schemeClr val="bg1"/>
                        </a:solidFill>
                        <a:latin typeface="Cambria Math" panose="02040503050406030204" pitchFamily="18" charset="0"/>
                      </a:rPr>
                      <m:t>    ;</m:t>
                    </m:r>
                    <m:r>
                      <a:rPr lang="es-ES" sz="1800" b="0" i="1">
                        <a:solidFill>
                          <a:schemeClr val="bg1"/>
                        </a:solidFill>
                        <a:latin typeface="Cambria Math" panose="02040503050406030204" pitchFamily="18" charset="0"/>
                      </a:rPr>
                      <m:t>𝑘</m:t>
                    </m:r>
                    <m:r>
                      <a:rPr lang="es-ES" sz="1800" b="0" i="1">
                        <a:solidFill>
                          <a:schemeClr val="bg1"/>
                        </a:solidFill>
                        <a:latin typeface="Cambria Math" panose="02040503050406030204" pitchFamily="18" charset="0"/>
                      </a:rPr>
                      <m:t>= </m:t>
                    </m:r>
                    <m:f>
                      <m:fPr>
                        <m:ctrlPr>
                          <a:rPr lang="es-ES" sz="1800" b="0" i="1">
                            <a:solidFill>
                              <a:schemeClr val="bg1"/>
                            </a:solidFill>
                            <a:latin typeface="Cambria Math" panose="02040503050406030204" pitchFamily="18" charset="0"/>
                          </a:rPr>
                        </m:ctrlPr>
                      </m:fPr>
                      <m:num>
                        <m:r>
                          <a:rPr lang="es-ES" sz="1800" b="0" i="1">
                            <a:solidFill>
                              <a:schemeClr val="bg1"/>
                            </a:solidFill>
                            <a:latin typeface="Cambria Math" panose="02040503050406030204" pitchFamily="18" charset="0"/>
                          </a:rPr>
                          <m:t>𝐴</m:t>
                        </m:r>
                        <m:d>
                          <m:dPr>
                            <m:ctrlPr>
                              <a:rPr lang="es-ES" sz="1800" b="0" i="1">
                                <a:solidFill>
                                  <a:schemeClr val="bg1"/>
                                </a:solidFill>
                                <a:latin typeface="Cambria Math" panose="02040503050406030204" pitchFamily="18" charset="0"/>
                              </a:rPr>
                            </m:ctrlPr>
                          </m:dPr>
                          <m:e>
                            <m:r>
                              <a:rPr lang="es-ES" sz="1800" b="0" i="1">
                                <a:solidFill>
                                  <a:schemeClr val="bg1"/>
                                </a:solidFill>
                                <a:latin typeface="Cambria Math" panose="02040503050406030204" pitchFamily="18" charset="0"/>
                              </a:rPr>
                              <m:t>h</m:t>
                            </m:r>
                          </m:e>
                        </m:d>
                      </m:num>
                      <m:den>
                        <m:r>
                          <a:rPr lang="es-ES" sz="1800" b="0" i="1">
                            <a:solidFill>
                              <a:schemeClr val="bg1"/>
                            </a:solidFill>
                            <a:latin typeface="Cambria Math" panose="02040503050406030204" pitchFamily="18" charset="0"/>
                          </a:rPr>
                          <m:t>𝑎𝑐</m:t>
                        </m:r>
                        <m:rad>
                          <m:radPr>
                            <m:degHide m:val="on"/>
                            <m:ctrlPr>
                              <a:rPr lang="es-ES" sz="1800" b="0" i="1">
                                <a:solidFill>
                                  <a:schemeClr val="bg1"/>
                                </a:solidFill>
                                <a:latin typeface="Cambria Math" panose="02040503050406030204" pitchFamily="18" charset="0"/>
                              </a:rPr>
                            </m:ctrlPr>
                          </m:radPr>
                          <m:deg/>
                          <m:e>
                            <m:r>
                              <a:rPr lang="es-ES" sz="1800" b="0" i="1">
                                <a:solidFill>
                                  <a:schemeClr val="bg1"/>
                                </a:solidFill>
                                <a:latin typeface="Cambria Math" panose="02040503050406030204" pitchFamily="18" charset="0"/>
                              </a:rPr>
                              <m:t>2</m:t>
                            </m:r>
                            <m:r>
                              <a:rPr lang="es-ES" sz="1800" b="0" i="1">
                                <a:solidFill>
                                  <a:schemeClr val="bg1"/>
                                </a:solidFill>
                                <a:latin typeface="Cambria Math" panose="02040503050406030204" pitchFamily="18" charset="0"/>
                              </a:rPr>
                              <m:t>𝑔</m:t>
                            </m:r>
                          </m:e>
                        </m:rad>
                      </m:den>
                    </m:f>
                    <m:r>
                      <a:rPr lang="es-ES" sz="1800" b="0" i="1">
                        <a:solidFill>
                          <a:schemeClr val="bg1"/>
                        </a:solidFill>
                        <a:latin typeface="Cambria Math" panose="02040503050406030204" pitchFamily="18" charset="0"/>
                      </a:rPr>
                      <m:t> </m:t>
                    </m:r>
                  </m:oMath>
                </m:oMathPara>
              </a14:m>
              <a:endParaRPr lang="es-MX" sz="1800" b="0" i="1">
                <a:solidFill>
                  <a:schemeClr val="bg1"/>
                </a:solidFill>
                <a:latin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s-ES" sz="1800" b="0" i="1">
                <a:solidFill>
                  <a:schemeClr val="bg1"/>
                </a:solidFill>
                <a:latin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s-ES" sz="1800" b="0" i="1">
                        <a:solidFill>
                          <a:schemeClr val="bg1"/>
                        </a:solidFill>
                        <a:latin typeface="Cambria Math" panose="02040503050406030204" pitchFamily="18" charset="0"/>
                      </a:rPr>
                      <m:t>𝑘</m:t>
                    </m:r>
                    <m:nary>
                      <m:naryPr>
                        <m:ctrlPr>
                          <a:rPr lang="es-ES" sz="1800" b="0" i="1">
                            <a:solidFill>
                              <a:schemeClr val="bg1"/>
                            </a:solidFill>
                            <a:latin typeface="Cambria Math" panose="02040503050406030204" pitchFamily="18" charset="0"/>
                          </a:rPr>
                        </m:ctrlPr>
                      </m:naryPr>
                      <m:sub>
                        <m:r>
                          <m:rPr>
                            <m:brk m:alnAt="23"/>
                          </m:rPr>
                          <a:rPr lang="es-ES" sz="1800" b="0" i="1">
                            <a:solidFill>
                              <a:schemeClr val="bg1"/>
                            </a:solidFill>
                            <a:latin typeface="Cambria Math" panose="02040503050406030204" pitchFamily="18" charset="0"/>
                          </a:rPr>
                          <m:t>0</m:t>
                        </m:r>
                      </m:sub>
                      <m:sup>
                        <m:sSub>
                          <m:sSubPr>
                            <m:ctrlPr>
                              <a:rPr lang="es-ES" sz="1800" b="0" i="1">
                                <a:solidFill>
                                  <a:schemeClr val="bg1"/>
                                </a:solidFill>
                                <a:latin typeface="Cambria Math" panose="02040503050406030204" pitchFamily="18" charset="0"/>
                              </a:rPr>
                            </m:ctrlPr>
                          </m:sSubPr>
                          <m:e>
                            <m:r>
                              <a:rPr lang="es-ES" sz="1800" b="0" i="1">
                                <a:solidFill>
                                  <a:schemeClr val="bg1"/>
                                </a:solidFill>
                                <a:latin typeface="Cambria Math" panose="02040503050406030204" pitchFamily="18" charset="0"/>
                              </a:rPr>
                              <m:t>h</m:t>
                            </m:r>
                          </m:e>
                          <m:sub>
                            <m:r>
                              <a:rPr lang="es-ES" sz="1800" b="0" i="1">
                                <a:solidFill>
                                  <a:schemeClr val="bg1"/>
                                </a:solidFill>
                                <a:latin typeface="Cambria Math" panose="02040503050406030204" pitchFamily="18" charset="0"/>
                              </a:rPr>
                              <m:t>𝑚𝑎𝑥</m:t>
                            </m:r>
                          </m:sub>
                        </m:sSub>
                      </m:sup>
                      <m:e>
                        <m:f>
                          <m:fPr>
                            <m:ctrlPr>
                              <a:rPr lang="es-ES" sz="1800" b="0" i="1">
                                <a:solidFill>
                                  <a:schemeClr val="bg1"/>
                                </a:solidFill>
                                <a:latin typeface="Cambria Math" panose="02040503050406030204" pitchFamily="18" charset="0"/>
                              </a:rPr>
                            </m:ctrlPr>
                          </m:fPr>
                          <m:num>
                            <m:r>
                              <a:rPr lang="es-ES" sz="1800" b="0" i="1">
                                <a:solidFill>
                                  <a:schemeClr val="bg1"/>
                                </a:solidFill>
                                <a:latin typeface="Cambria Math" panose="02040503050406030204" pitchFamily="18" charset="0"/>
                              </a:rPr>
                              <m:t>𝑑h</m:t>
                            </m:r>
                          </m:num>
                          <m:den>
                            <m:rad>
                              <m:radPr>
                                <m:degHide m:val="on"/>
                                <m:ctrlPr>
                                  <a:rPr lang="es-ES" sz="1800" b="0" i="1">
                                    <a:solidFill>
                                      <a:schemeClr val="bg1"/>
                                    </a:solidFill>
                                    <a:latin typeface="Cambria Math" panose="02040503050406030204" pitchFamily="18" charset="0"/>
                                  </a:rPr>
                                </m:ctrlPr>
                              </m:radPr>
                              <m:deg/>
                              <m:e>
                                <m:r>
                                  <a:rPr lang="es-ES" sz="1800" b="0" i="1">
                                    <a:solidFill>
                                      <a:schemeClr val="bg1"/>
                                    </a:solidFill>
                                    <a:latin typeface="Cambria Math" panose="02040503050406030204" pitchFamily="18" charset="0"/>
                                  </a:rPr>
                                  <m:t>h</m:t>
                                </m:r>
                              </m:e>
                            </m:rad>
                          </m:den>
                        </m:f>
                      </m:e>
                    </m:nary>
                    <m:r>
                      <a:rPr lang="es-CO" sz="1800" i="1">
                        <a:solidFill>
                          <a:schemeClr val="bg1"/>
                        </a:solidFill>
                        <a:latin typeface="Cambria Math" panose="02040503050406030204" pitchFamily="18" charset="0"/>
                      </a:rPr>
                      <m:t>=</m:t>
                    </m:r>
                    <m:r>
                      <a:rPr lang="es-ES" sz="1800" b="0" i="1">
                        <a:solidFill>
                          <a:schemeClr val="bg1"/>
                        </a:solidFill>
                        <a:latin typeface="Cambria Math" panose="02040503050406030204" pitchFamily="18" charset="0"/>
                      </a:rPr>
                      <m:t>−</m:t>
                    </m:r>
                    <m:nary>
                      <m:naryPr>
                        <m:ctrlPr>
                          <a:rPr lang="es-CO" sz="1800" i="1">
                            <a:solidFill>
                              <a:schemeClr val="bg1"/>
                            </a:solidFill>
                            <a:latin typeface="Cambria Math" panose="02040503050406030204" pitchFamily="18" charset="0"/>
                          </a:rPr>
                        </m:ctrlPr>
                      </m:naryPr>
                      <m:sub>
                        <m:r>
                          <m:rPr>
                            <m:brk m:alnAt="23"/>
                          </m:rPr>
                          <a:rPr lang="es-ES" sz="1800" b="0" i="1">
                            <a:solidFill>
                              <a:schemeClr val="bg1"/>
                            </a:solidFill>
                            <a:latin typeface="Cambria Math" panose="02040503050406030204" pitchFamily="18" charset="0"/>
                          </a:rPr>
                          <m:t>𝑡</m:t>
                        </m:r>
                      </m:sub>
                      <m:sup>
                        <m:sSub>
                          <m:sSubPr>
                            <m:ctrlPr>
                              <a:rPr lang="es-ES" sz="1800" b="0" i="1">
                                <a:solidFill>
                                  <a:schemeClr val="bg1"/>
                                </a:solidFill>
                                <a:latin typeface="Cambria Math" panose="02040503050406030204" pitchFamily="18" charset="0"/>
                              </a:rPr>
                            </m:ctrlPr>
                          </m:sSubPr>
                          <m:e>
                            <m:r>
                              <a:rPr lang="es-ES" sz="1800" b="0" i="1">
                                <a:solidFill>
                                  <a:schemeClr val="bg1"/>
                                </a:solidFill>
                                <a:latin typeface="Cambria Math" panose="02040503050406030204" pitchFamily="18" charset="0"/>
                              </a:rPr>
                              <m:t>𝑡</m:t>
                            </m:r>
                          </m:e>
                          <m:sub>
                            <m:r>
                              <a:rPr lang="es-ES" sz="1800" b="0" i="1">
                                <a:solidFill>
                                  <a:schemeClr val="bg1"/>
                                </a:solidFill>
                                <a:latin typeface="Cambria Math" panose="02040503050406030204" pitchFamily="18" charset="0"/>
                              </a:rPr>
                              <m:t>0</m:t>
                            </m:r>
                          </m:sub>
                        </m:sSub>
                      </m:sup>
                      <m:e>
                        <m:r>
                          <a:rPr lang="es-ES" sz="1800" b="0" i="1">
                            <a:solidFill>
                              <a:schemeClr val="bg1"/>
                            </a:solidFill>
                            <a:latin typeface="Cambria Math" panose="02040503050406030204" pitchFamily="18" charset="0"/>
                          </a:rPr>
                          <m:t>𝑑𝑡</m:t>
                        </m:r>
                      </m:e>
                    </m:nary>
                  </m:oMath>
                </m:oMathPara>
              </a14:m>
              <a:endParaRPr lang="es-MX" sz="1800" b="0" i="1">
                <a:solidFill>
                  <a:schemeClr val="bg1"/>
                </a:solidFill>
                <a:latin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s-CO" sz="1800" i="1">
                <a:solidFill>
                  <a:schemeClr val="bg1"/>
                </a:solidFill>
                <a:effectLst/>
                <a:latin typeface="Cambria Math" panose="02040503050406030204" pitchFamily="18"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sSubSup>
                      <m:sSubSupPr>
                        <m:ctrlPr>
                          <a:rPr lang="es-CO" sz="1800" i="1">
                            <a:solidFill>
                              <a:schemeClr val="bg1"/>
                            </a:solidFill>
                            <a:effectLst/>
                            <a:latin typeface="Cambria Math" panose="02040503050406030204" pitchFamily="18" charset="0"/>
                            <a:ea typeface="+mn-ea"/>
                            <a:cs typeface="+mn-cs"/>
                          </a:rPr>
                        </m:ctrlPr>
                      </m:sSubSupPr>
                      <m:e>
                        <m:r>
                          <a:rPr lang="es-ES" sz="1800" b="0" i="1">
                            <a:solidFill>
                              <a:schemeClr val="bg1"/>
                            </a:solidFill>
                            <a:effectLst/>
                            <a:latin typeface="Cambria Math" panose="02040503050406030204" pitchFamily="18" charset="0"/>
                            <a:ea typeface="+mn-ea"/>
                            <a:cs typeface="+mn-cs"/>
                          </a:rPr>
                          <m:t>𝑘</m:t>
                        </m:r>
                        <m:d>
                          <m:dPr>
                            <m:begChr m:val="["/>
                            <m:endChr m:val="]"/>
                            <m:ctrlPr>
                              <a:rPr lang="es-CO" sz="1800" i="1">
                                <a:solidFill>
                                  <a:schemeClr val="bg1"/>
                                </a:solidFill>
                                <a:effectLst/>
                                <a:latin typeface="Cambria Math" panose="02040503050406030204" pitchFamily="18" charset="0"/>
                                <a:ea typeface="+mn-ea"/>
                                <a:cs typeface="+mn-cs"/>
                              </a:rPr>
                            </m:ctrlPr>
                          </m:dPr>
                          <m:e>
                            <m:r>
                              <a:rPr lang="es-ES" sz="1800" b="0" i="1">
                                <a:solidFill>
                                  <a:schemeClr val="bg1"/>
                                </a:solidFill>
                                <a:effectLst/>
                                <a:latin typeface="Cambria Math" panose="02040503050406030204" pitchFamily="18" charset="0"/>
                                <a:ea typeface="+mn-ea"/>
                                <a:cs typeface="+mn-cs"/>
                              </a:rPr>
                              <m:t>2</m:t>
                            </m:r>
                            <m:rad>
                              <m:radPr>
                                <m:degHide m:val="on"/>
                                <m:ctrlPr>
                                  <a:rPr lang="es-ES" sz="1800" b="0" i="1">
                                    <a:solidFill>
                                      <a:schemeClr val="bg1"/>
                                    </a:solidFill>
                                    <a:effectLst/>
                                    <a:latin typeface="Cambria Math" panose="02040503050406030204" pitchFamily="18" charset="0"/>
                                    <a:ea typeface="+mn-ea"/>
                                    <a:cs typeface="+mn-cs"/>
                                  </a:rPr>
                                </m:ctrlPr>
                              </m:radPr>
                              <m:deg/>
                              <m:e>
                                <m:r>
                                  <a:rPr lang="es-ES" sz="1800" b="0" i="1">
                                    <a:solidFill>
                                      <a:schemeClr val="bg1"/>
                                    </a:solidFill>
                                    <a:effectLst/>
                                    <a:latin typeface="Cambria Math" panose="02040503050406030204" pitchFamily="18" charset="0"/>
                                    <a:ea typeface="+mn-ea"/>
                                    <a:cs typeface="+mn-cs"/>
                                  </a:rPr>
                                  <m:t>h</m:t>
                                </m:r>
                              </m:e>
                            </m:rad>
                          </m:e>
                        </m:d>
                      </m:e>
                      <m:sub>
                        <m:r>
                          <a:rPr lang="es-ES" sz="1800" b="0" i="1">
                            <a:solidFill>
                              <a:schemeClr val="bg1"/>
                            </a:solidFill>
                            <a:effectLst/>
                            <a:latin typeface="Cambria Math" panose="02040503050406030204" pitchFamily="18" charset="0"/>
                            <a:ea typeface="+mn-ea"/>
                            <a:cs typeface="+mn-cs"/>
                          </a:rPr>
                          <m:t>0</m:t>
                        </m:r>
                      </m:sub>
                      <m:sup>
                        <m:sSub>
                          <m:sSubPr>
                            <m:ctrlPr>
                              <a:rPr lang="es-CO" sz="1800" i="1">
                                <a:solidFill>
                                  <a:schemeClr val="bg1"/>
                                </a:solidFill>
                                <a:effectLst/>
                                <a:latin typeface="Cambria Math" panose="02040503050406030204" pitchFamily="18" charset="0"/>
                                <a:ea typeface="+mn-ea"/>
                                <a:cs typeface="+mn-cs"/>
                              </a:rPr>
                            </m:ctrlPr>
                          </m:sSubPr>
                          <m:e>
                            <m:r>
                              <a:rPr lang="es-ES" sz="1800" b="0" i="1">
                                <a:solidFill>
                                  <a:schemeClr val="bg1"/>
                                </a:solidFill>
                                <a:effectLst/>
                                <a:latin typeface="Cambria Math" panose="02040503050406030204" pitchFamily="18" charset="0"/>
                                <a:ea typeface="+mn-ea"/>
                                <a:cs typeface="+mn-cs"/>
                              </a:rPr>
                              <m:t>h</m:t>
                            </m:r>
                          </m:e>
                          <m:sub>
                            <m:r>
                              <a:rPr lang="es-ES" sz="1800" b="0" i="1">
                                <a:solidFill>
                                  <a:schemeClr val="bg1"/>
                                </a:solidFill>
                                <a:effectLst/>
                                <a:latin typeface="Cambria Math" panose="02040503050406030204" pitchFamily="18" charset="0"/>
                                <a:ea typeface="+mn-ea"/>
                                <a:cs typeface="+mn-cs"/>
                              </a:rPr>
                              <m:t>𝑚𝑎𝑥</m:t>
                            </m:r>
                          </m:sub>
                        </m:sSub>
                      </m:sup>
                    </m:sSubSup>
                    <m:r>
                      <a:rPr lang="es-ES" sz="1800" b="0" i="1">
                        <a:solidFill>
                          <a:schemeClr val="bg1"/>
                        </a:solidFill>
                        <a:effectLst/>
                        <a:latin typeface="Cambria Math" panose="02040503050406030204" pitchFamily="18" charset="0"/>
                        <a:ea typeface="+mn-ea"/>
                        <a:cs typeface="+mn-cs"/>
                      </a:rPr>
                      <m:t>=</m:t>
                    </m:r>
                    <m:sSubSup>
                      <m:sSubSupPr>
                        <m:ctrlPr>
                          <a:rPr lang="es-ES" sz="1800" b="0" i="1">
                            <a:solidFill>
                              <a:schemeClr val="bg1"/>
                            </a:solidFill>
                            <a:effectLst/>
                            <a:latin typeface="Cambria Math" panose="02040503050406030204" pitchFamily="18" charset="0"/>
                            <a:ea typeface="+mn-ea"/>
                            <a:cs typeface="+mn-cs"/>
                          </a:rPr>
                        </m:ctrlPr>
                      </m:sSubSupPr>
                      <m:e>
                        <m:r>
                          <a:rPr lang="es-ES" sz="1800" b="0" i="1">
                            <a:solidFill>
                              <a:schemeClr val="bg1"/>
                            </a:solidFill>
                            <a:effectLst/>
                            <a:latin typeface="Cambria Math" panose="02040503050406030204" pitchFamily="18" charset="0"/>
                            <a:ea typeface="+mn-ea"/>
                            <a:cs typeface="+mn-cs"/>
                          </a:rPr>
                          <m:t>−[</m:t>
                        </m:r>
                        <m:r>
                          <a:rPr lang="es-ES" sz="1800" b="0" i="1">
                            <a:solidFill>
                              <a:schemeClr val="bg1"/>
                            </a:solidFill>
                            <a:effectLst/>
                            <a:latin typeface="Cambria Math" panose="02040503050406030204" pitchFamily="18" charset="0"/>
                            <a:ea typeface="+mn-ea"/>
                            <a:cs typeface="+mn-cs"/>
                          </a:rPr>
                          <m:t>𝑡</m:t>
                        </m:r>
                        <m:r>
                          <a:rPr lang="es-ES" sz="1800" b="0" i="1">
                            <a:solidFill>
                              <a:schemeClr val="bg1"/>
                            </a:solidFill>
                            <a:effectLst/>
                            <a:latin typeface="Cambria Math" panose="02040503050406030204" pitchFamily="18" charset="0"/>
                            <a:ea typeface="+mn-ea"/>
                            <a:cs typeface="+mn-cs"/>
                          </a:rPr>
                          <m:t>]</m:t>
                        </m:r>
                      </m:e>
                      <m:sub>
                        <m:r>
                          <a:rPr lang="es-ES" sz="1800" b="0" i="1">
                            <a:solidFill>
                              <a:schemeClr val="bg1"/>
                            </a:solidFill>
                            <a:effectLst/>
                            <a:latin typeface="Cambria Math" panose="02040503050406030204" pitchFamily="18" charset="0"/>
                            <a:ea typeface="+mn-ea"/>
                            <a:cs typeface="+mn-cs"/>
                          </a:rPr>
                          <m:t>𝑡</m:t>
                        </m:r>
                      </m:sub>
                      <m:sup>
                        <m:sSub>
                          <m:sSubPr>
                            <m:ctrlPr>
                              <a:rPr lang="es-ES" sz="1800" b="0" i="1">
                                <a:solidFill>
                                  <a:schemeClr val="bg1"/>
                                </a:solidFill>
                                <a:effectLst/>
                                <a:latin typeface="Cambria Math" panose="02040503050406030204" pitchFamily="18" charset="0"/>
                                <a:ea typeface="+mn-ea"/>
                                <a:cs typeface="+mn-cs"/>
                              </a:rPr>
                            </m:ctrlPr>
                          </m:sSubPr>
                          <m:e>
                            <m:r>
                              <a:rPr lang="es-ES" sz="1800" b="0" i="1">
                                <a:solidFill>
                                  <a:schemeClr val="bg1"/>
                                </a:solidFill>
                                <a:effectLst/>
                                <a:latin typeface="Cambria Math" panose="02040503050406030204" pitchFamily="18" charset="0"/>
                                <a:ea typeface="+mn-ea"/>
                                <a:cs typeface="+mn-cs"/>
                              </a:rPr>
                              <m:t>𝑡</m:t>
                            </m:r>
                          </m:e>
                          <m:sub>
                            <m:r>
                              <a:rPr lang="es-ES" sz="1800" b="0" i="1">
                                <a:solidFill>
                                  <a:schemeClr val="bg1"/>
                                </a:solidFill>
                                <a:effectLst/>
                                <a:latin typeface="Cambria Math" panose="02040503050406030204" pitchFamily="18" charset="0"/>
                                <a:ea typeface="+mn-ea"/>
                                <a:cs typeface="+mn-cs"/>
                              </a:rPr>
                              <m:t>0</m:t>
                            </m:r>
                          </m:sub>
                        </m:sSub>
                      </m:sup>
                    </m:sSubSup>
                  </m:oMath>
                </m:oMathPara>
              </a14:m>
              <a:endParaRPr lang="es-MX" sz="1800" b="0" i="1">
                <a:solidFill>
                  <a:schemeClr val="bg1"/>
                </a:solidFill>
                <a:effectLst/>
                <a:latin typeface="Cambria Math" panose="02040503050406030204" pitchFamily="18"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s-ES" sz="1800" b="0" i="1">
                <a:solidFill>
                  <a:schemeClr val="bg1"/>
                </a:solidFill>
                <a:effectLst/>
                <a:latin typeface="Cambria Math" panose="02040503050406030204" pitchFamily="18"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s-ES" sz="1800" b="0" i="1">
                        <a:solidFill>
                          <a:schemeClr val="bg1"/>
                        </a:solidFill>
                        <a:effectLst/>
                        <a:latin typeface="Cambria Math" panose="02040503050406030204" pitchFamily="18" charset="0"/>
                        <a:ea typeface="+mn-ea"/>
                        <a:cs typeface="+mn-cs"/>
                      </a:rPr>
                      <m:t>2</m:t>
                    </m:r>
                    <m:r>
                      <a:rPr lang="es-ES" sz="1800" b="0" i="1">
                        <a:solidFill>
                          <a:schemeClr val="bg1"/>
                        </a:solidFill>
                        <a:effectLst/>
                        <a:latin typeface="Cambria Math" panose="02040503050406030204" pitchFamily="18" charset="0"/>
                        <a:ea typeface="+mn-ea"/>
                        <a:cs typeface="+mn-cs"/>
                      </a:rPr>
                      <m:t>𝑘</m:t>
                    </m:r>
                    <m:d>
                      <m:dPr>
                        <m:ctrlPr>
                          <a:rPr lang="es-ES" sz="1800" b="0" i="1">
                            <a:solidFill>
                              <a:schemeClr val="bg1"/>
                            </a:solidFill>
                            <a:effectLst/>
                            <a:latin typeface="Cambria Math" panose="02040503050406030204" pitchFamily="18" charset="0"/>
                            <a:ea typeface="+mn-ea"/>
                            <a:cs typeface="+mn-cs"/>
                          </a:rPr>
                        </m:ctrlPr>
                      </m:dPr>
                      <m:e>
                        <m:rad>
                          <m:radPr>
                            <m:degHide m:val="on"/>
                            <m:ctrlPr>
                              <a:rPr lang="es-ES" sz="1800" b="0" i="1">
                                <a:solidFill>
                                  <a:schemeClr val="bg1"/>
                                </a:solidFill>
                                <a:effectLst/>
                                <a:latin typeface="Cambria Math" panose="02040503050406030204" pitchFamily="18" charset="0"/>
                                <a:ea typeface="+mn-ea"/>
                                <a:cs typeface="+mn-cs"/>
                              </a:rPr>
                            </m:ctrlPr>
                          </m:radPr>
                          <m:deg/>
                          <m:e>
                            <m:sSub>
                              <m:sSubPr>
                                <m:ctrlPr>
                                  <a:rPr lang="es-ES" sz="1800" b="0" i="1">
                                    <a:solidFill>
                                      <a:schemeClr val="bg1"/>
                                    </a:solidFill>
                                    <a:effectLst/>
                                    <a:latin typeface="Cambria Math" panose="02040503050406030204" pitchFamily="18" charset="0"/>
                                    <a:ea typeface="+mn-ea"/>
                                    <a:cs typeface="+mn-cs"/>
                                  </a:rPr>
                                </m:ctrlPr>
                              </m:sSubPr>
                              <m:e>
                                <m:r>
                                  <a:rPr lang="es-ES" sz="1800" b="0" i="1">
                                    <a:solidFill>
                                      <a:schemeClr val="bg1"/>
                                    </a:solidFill>
                                    <a:effectLst/>
                                    <a:latin typeface="Cambria Math" panose="02040503050406030204" pitchFamily="18" charset="0"/>
                                    <a:ea typeface="+mn-ea"/>
                                    <a:cs typeface="+mn-cs"/>
                                  </a:rPr>
                                  <m:t>h</m:t>
                                </m:r>
                              </m:e>
                              <m:sub>
                                <m:r>
                                  <a:rPr lang="es-ES" sz="1800" b="0" i="1">
                                    <a:solidFill>
                                      <a:schemeClr val="bg1"/>
                                    </a:solidFill>
                                    <a:effectLst/>
                                    <a:latin typeface="Cambria Math" panose="02040503050406030204" pitchFamily="18" charset="0"/>
                                    <a:ea typeface="+mn-ea"/>
                                    <a:cs typeface="+mn-cs"/>
                                  </a:rPr>
                                  <m:t>𝑚𝑎𝑥</m:t>
                                </m:r>
                              </m:sub>
                            </m:sSub>
                          </m:e>
                        </m:rad>
                        <m:r>
                          <a:rPr lang="es-ES" sz="1800" b="0" i="1">
                            <a:solidFill>
                              <a:schemeClr val="bg1"/>
                            </a:solidFill>
                            <a:effectLst/>
                            <a:latin typeface="Cambria Math" panose="02040503050406030204" pitchFamily="18" charset="0"/>
                            <a:ea typeface="+mn-ea"/>
                            <a:cs typeface="+mn-cs"/>
                          </a:rPr>
                          <m:t>−</m:t>
                        </m:r>
                        <m:rad>
                          <m:radPr>
                            <m:degHide m:val="on"/>
                            <m:ctrlPr>
                              <a:rPr lang="es-ES" sz="1800" b="0" i="1">
                                <a:solidFill>
                                  <a:schemeClr val="bg1"/>
                                </a:solidFill>
                                <a:effectLst/>
                                <a:latin typeface="Cambria Math" panose="02040503050406030204" pitchFamily="18" charset="0"/>
                                <a:ea typeface="+mn-ea"/>
                                <a:cs typeface="+mn-cs"/>
                              </a:rPr>
                            </m:ctrlPr>
                          </m:radPr>
                          <m:deg/>
                          <m:e>
                            <m:r>
                              <a:rPr lang="es-ES" sz="1800" b="0" i="1">
                                <a:solidFill>
                                  <a:schemeClr val="bg1"/>
                                </a:solidFill>
                                <a:effectLst/>
                                <a:latin typeface="Cambria Math" panose="02040503050406030204" pitchFamily="18" charset="0"/>
                                <a:ea typeface="+mn-ea"/>
                                <a:cs typeface="+mn-cs"/>
                              </a:rPr>
                              <m:t>0</m:t>
                            </m:r>
                          </m:e>
                        </m:rad>
                      </m:e>
                    </m:d>
                    <m:r>
                      <a:rPr lang="es-ES" sz="1800" b="0" i="1">
                        <a:solidFill>
                          <a:schemeClr val="bg1"/>
                        </a:solidFill>
                        <a:effectLst/>
                        <a:latin typeface="Cambria Math" panose="02040503050406030204" pitchFamily="18" charset="0"/>
                        <a:ea typeface="+mn-ea"/>
                        <a:cs typeface="+mn-cs"/>
                      </a:rPr>
                      <m:t>=−</m:t>
                    </m:r>
                    <m:d>
                      <m:dPr>
                        <m:ctrlPr>
                          <a:rPr lang="es-ES" sz="1800" b="0" i="1">
                            <a:solidFill>
                              <a:schemeClr val="bg1"/>
                            </a:solidFill>
                            <a:effectLst/>
                            <a:latin typeface="Cambria Math" panose="02040503050406030204" pitchFamily="18" charset="0"/>
                            <a:ea typeface="+mn-ea"/>
                            <a:cs typeface="+mn-cs"/>
                          </a:rPr>
                        </m:ctrlPr>
                      </m:dPr>
                      <m:e>
                        <m:sSub>
                          <m:sSubPr>
                            <m:ctrlPr>
                              <a:rPr lang="es-ES" sz="1800" b="0" i="1">
                                <a:solidFill>
                                  <a:schemeClr val="bg1"/>
                                </a:solidFill>
                                <a:effectLst/>
                                <a:latin typeface="Cambria Math" panose="02040503050406030204" pitchFamily="18" charset="0"/>
                                <a:ea typeface="+mn-ea"/>
                                <a:cs typeface="+mn-cs"/>
                              </a:rPr>
                            </m:ctrlPr>
                          </m:sSubPr>
                          <m:e>
                            <m:r>
                              <a:rPr lang="es-ES" sz="1800" b="0" i="1">
                                <a:solidFill>
                                  <a:schemeClr val="bg1"/>
                                </a:solidFill>
                                <a:effectLst/>
                                <a:latin typeface="Cambria Math" panose="02040503050406030204" pitchFamily="18" charset="0"/>
                                <a:ea typeface="+mn-ea"/>
                                <a:cs typeface="+mn-cs"/>
                              </a:rPr>
                              <m:t>𝑡</m:t>
                            </m:r>
                          </m:e>
                          <m:sub>
                            <m:r>
                              <a:rPr lang="es-ES" sz="1800" b="0" i="1">
                                <a:solidFill>
                                  <a:schemeClr val="bg1"/>
                                </a:solidFill>
                                <a:effectLst/>
                                <a:latin typeface="Cambria Math" panose="02040503050406030204" pitchFamily="18" charset="0"/>
                                <a:ea typeface="+mn-ea"/>
                                <a:cs typeface="+mn-cs"/>
                              </a:rPr>
                              <m:t>0</m:t>
                            </m:r>
                          </m:sub>
                        </m:sSub>
                        <m:r>
                          <a:rPr lang="es-ES" sz="1800" b="0" i="1">
                            <a:solidFill>
                              <a:schemeClr val="bg1"/>
                            </a:solidFill>
                            <a:effectLst/>
                            <a:latin typeface="Cambria Math" panose="02040503050406030204" pitchFamily="18" charset="0"/>
                            <a:ea typeface="+mn-ea"/>
                            <a:cs typeface="+mn-cs"/>
                          </a:rPr>
                          <m:t>−</m:t>
                        </m:r>
                        <m:r>
                          <a:rPr lang="es-ES" sz="1800" b="0" i="1">
                            <a:solidFill>
                              <a:schemeClr val="bg1"/>
                            </a:solidFill>
                            <a:effectLst/>
                            <a:latin typeface="Cambria Math" panose="02040503050406030204" pitchFamily="18" charset="0"/>
                            <a:ea typeface="+mn-ea"/>
                            <a:cs typeface="+mn-cs"/>
                          </a:rPr>
                          <m:t>𝑡</m:t>
                        </m:r>
                      </m:e>
                    </m:d>
                  </m:oMath>
                </m:oMathPara>
              </a14:m>
              <a:endParaRPr lang="es-MX" sz="1800" b="0" i="1">
                <a:solidFill>
                  <a:schemeClr val="bg1"/>
                </a:solidFill>
                <a:effectLst/>
                <a:latin typeface="Cambria Math" panose="02040503050406030204" pitchFamily="18"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s-ES" sz="1800" b="0" i="1">
                <a:solidFill>
                  <a:schemeClr val="bg1"/>
                </a:solidFill>
                <a:latin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ES" sz="1800" b="0" i="1">
                            <a:solidFill>
                              <a:schemeClr val="bg1"/>
                            </a:solidFill>
                            <a:latin typeface="Cambria Math" panose="02040503050406030204" pitchFamily="18" charset="0"/>
                          </a:rPr>
                        </m:ctrlPr>
                      </m:fPr>
                      <m:num>
                        <m:r>
                          <a:rPr lang="es-ES" sz="1800" b="0" i="1">
                            <a:solidFill>
                              <a:schemeClr val="bg1"/>
                            </a:solidFill>
                            <a:latin typeface="Cambria Math" panose="02040503050406030204" pitchFamily="18" charset="0"/>
                          </a:rPr>
                          <m:t>2</m:t>
                        </m:r>
                        <m:r>
                          <a:rPr lang="es-ES" sz="1800" b="0" i="1">
                            <a:solidFill>
                              <a:schemeClr val="bg1"/>
                            </a:solidFill>
                            <a:latin typeface="Cambria Math" panose="02040503050406030204" pitchFamily="18" charset="0"/>
                          </a:rPr>
                          <m:t>𝐴</m:t>
                        </m:r>
                        <m:d>
                          <m:dPr>
                            <m:ctrlPr>
                              <a:rPr lang="es-ES" sz="1800" b="0" i="1">
                                <a:solidFill>
                                  <a:schemeClr val="bg1"/>
                                </a:solidFill>
                                <a:latin typeface="Cambria Math" panose="02040503050406030204" pitchFamily="18" charset="0"/>
                              </a:rPr>
                            </m:ctrlPr>
                          </m:dPr>
                          <m:e>
                            <m:r>
                              <a:rPr lang="es-ES" sz="1800" b="0" i="1">
                                <a:solidFill>
                                  <a:schemeClr val="bg1"/>
                                </a:solidFill>
                                <a:latin typeface="Cambria Math" panose="02040503050406030204" pitchFamily="18" charset="0"/>
                              </a:rPr>
                              <m:t>h</m:t>
                            </m:r>
                          </m:e>
                        </m:d>
                      </m:num>
                      <m:den>
                        <m:r>
                          <a:rPr lang="es-ES" sz="1800" b="0" i="1">
                            <a:solidFill>
                              <a:schemeClr val="bg1"/>
                            </a:solidFill>
                            <a:latin typeface="Cambria Math" panose="02040503050406030204" pitchFamily="18" charset="0"/>
                          </a:rPr>
                          <m:t>𝑎</m:t>
                        </m:r>
                        <m:r>
                          <a:rPr lang="es-ES" sz="1800" b="0" i="1">
                            <a:solidFill>
                              <a:schemeClr val="bg1"/>
                            </a:solidFill>
                            <a:latin typeface="Cambria Math" panose="02040503050406030204" pitchFamily="18" charset="0"/>
                          </a:rPr>
                          <m:t>∗0.82</m:t>
                        </m:r>
                        <m:rad>
                          <m:radPr>
                            <m:degHide m:val="on"/>
                            <m:ctrlPr>
                              <a:rPr lang="es-ES" sz="1800" b="0" i="1">
                                <a:solidFill>
                                  <a:schemeClr val="bg1"/>
                                </a:solidFill>
                                <a:latin typeface="Cambria Math" panose="02040503050406030204" pitchFamily="18" charset="0"/>
                              </a:rPr>
                            </m:ctrlPr>
                          </m:radPr>
                          <m:deg/>
                          <m:e>
                            <m:r>
                              <a:rPr lang="es-ES" sz="1800" b="0" i="1">
                                <a:solidFill>
                                  <a:schemeClr val="bg1"/>
                                </a:solidFill>
                                <a:latin typeface="Cambria Math" panose="02040503050406030204" pitchFamily="18" charset="0"/>
                              </a:rPr>
                              <m:t>2</m:t>
                            </m:r>
                            <m:r>
                              <a:rPr lang="es-ES" sz="1800" b="0" i="1">
                                <a:solidFill>
                                  <a:schemeClr val="bg1"/>
                                </a:solidFill>
                                <a:latin typeface="Cambria Math" panose="02040503050406030204" pitchFamily="18" charset="0"/>
                              </a:rPr>
                              <m:t>𝑔</m:t>
                            </m:r>
                          </m:e>
                        </m:rad>
                      </m:den>
                    </m:f>
                    <m:rad>
                      <m:radPr>
                        <m:degHide m:val="on"/>
                        <m:ctrlPr>
                          <a:rPr lang="es-ES" sz="1800" b="0" i="1">
                            <a:solidFill>
                              <a:schemeClr val="bg1"/>
                            </a:solidFill>
                            <a:latin typeface="Cambria Math" panose="02040503050406030204" pitchFamily="18" charset="0"/>
                          </a:rPr>
                        </m:ctrlPr>
                      </m:radPr>
                      <m:deg/>
                      <m:e>
                        <m:sSub>
                          <m:sSubPr>
                            <m:ctrlPr>
                              <a:rPr lang="es-ES" sz="1800" b="0" i="1">
                                <a:solidFill>
                                  <a:schemeClr val="bg1"/>
                                </a:solidFill>
                                <a:latin typeface="Cambria Math" panose="02040503050406030204" pitchFamily="18" charset="0"/>
                              </a:rPr>
                            </m:ctrlPr>
                          </m:sSubPr>
                          <m:e>
                            <m:r>
                              <a:rPr lang="es-ES" sz="1800" b="0" i="1">
                                <a:solidFill>
                                  <a:schemeClr val="bg1"/>
                                </a:solidFill>
                                <a:latin typeface="Cambria Math" panose="02040503050406030204" pitchFamily="18" charset="0"/>
                              </a:rPr>
                              <m:t>h</m:t>
                            </m:r>
                          </m:e>
                          <m:sub>
                            <m:r>
                              <a:rPr lang="es-ES" sz="1800" b="0" i="1">
                                <a:solidFill>
                                  <a:schemeClr val="bg1"/>
                                </a:solidFill>
                                <a:latin typeface="Cambria Math" panose="02040503050406030204" pitchFamily="18" charset="0"/>
                              </a:rPr>
                              <m:t>𝑚𝑎𝑥</m:t>
                            </m:r>
                          </m:sub>
                        </m:sSub>
                      </m:e>
                    </m:rad>
                    <m:r>
                      <a:rPr lang="es-ES" sz="1800" b="0" i="1">
                        <a:solidFill>
                          <a:schemeClr val="bg1"/>
                        </a:solidFill>
                        <a:latin typeface="Cambria Math" panose="02040503050406030204" pitchFamily="18" charset="0"/>
                      </a:rPr>
                      <m:t>=</m:t>
                    </m:r>
                    <m:r>
                      <a:rPr lang="es-ES" sz="1800" b="0" i="1">
                        <a:solidFill>
                          <a:schemeClr val="bg1"/>
                        </a:solidFill>
                        <a:latin typeface="Cambria Math" panose="02040503050406030204" pitchFamily="18" charset="0"/>
                      </a:rPr>
                      <m:t>𝑡</m:t>
                    </m:r>
                  </m:oMath>
                </m:oMathPara>
              </a14:m>
              <a:endParaRPr lang="es-CO" sz="1800">
                <a:solidFill>
                  <a:schemeClr val="bg1"/>
                </a:solidFill>
              </a:endParaRPr>
            </a:p>
          </xdr:txBody>
        </xdr:sp>
      </mc:Choice>
      <mc:Fallback xmlns="">
        <xdr:sp macro="" textlink="">
          <xdr:nvSpPr>
            <xdr:cNvPr id="42" name="Ecucaciones TDV">
              <a:extLst>
                <a:ext uri="{FF2B5EF4-FFF2-40B4-BE49-F238E27FC236}">
                  <a16:creationId xmlns:a16="http://schemas.microsoft.com/office/drawing/2014/main" id="{00000000-0008-0000-0600-00002A000000}"/>
                </a:ext>
              </a:extLst>
            </xdr:cNvPr>
            <xdr:cNvSpPr txBox="1">
              <a:spLocks noChangeAspect="1"/>
            </xdr:cNvSpPr>
          </xdr:nvSpPr>
          <xdr:spPr>
            <a:xfrm>
              <a:off x="6140981" y="9998605"/>
              <a:ext cx="5270500" cy="680640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ES" sz="1800" b="0" i="0">
                  <a:solidFill>
                    <a:schemeClr val="bg1"/>
                  </a:solidFill>
                  <a:effectLst/>
                  <a:latin typeface="Cambria Math" panose="02040503050406030204" pitchFamily="18" charset="0"/>
                  <a:ea typeface="+mn-ea"/>
                  <a:cs typeface="+mn-cs"/>
                </a:rPr>
                <a:t>𝐴(ℎ) </a:t>
              </a:r>
              <a:r>
                <a:rPr lang="es-ES" sz="1800" b="0" i="0">
                  <a:solidFill>
                    <a:schemeClr val="bg1"/>
                  </a:solidFill>
                  <a:latin typeface="Cambria Math" panose="02040503050406030204" pitchFamily="18" charset="0"/>
                </a:rPr>
                <a:t> 𝑑ℎ/𝑑𝑡=−𝑎𝑐√2𝑔ℎ</a:t>
              </a:r>
              <a:r>
                <a:rPr lang="es-CO" sz="1800">
                  <a:solidFill>
                    <a:schemeClr val="bg1"/>
                  </a:solidFill>
                </a:rPr>
                <a:t>	</a:t>
              </a:r>
            </a:p>
            <a:p>
              <a:pPr algn="l"/>
              <a:endParaRPr lang="es-CO" sz="1800" b="0" i="1">
                <a:solidFill>
                  <a:schemeClr val="bg1"/>
                </a:solidFill>
                <a:latin typeface="Cambria Math" panose="02040503050406030204" pitchFamily="18" charset="0"/>
              </a:endParaRPr>
            </a:p>
            <a:p>
              <a:pPr algn="l"/>
              <a:r>
                <a:rPr lang="es-ES" sz="1400" b="0" i="0">
                  <a:solidFill>
                    <a:schemeClr val="bg1"/>
                  </a:solidFill>
                  <a:latin typeface="Cambria Math" panose="02040503050406030204" pitchFamily="18" charset="0"/>
                </a:rPr>
                <a:t>𝐴=Á𝑟𝑒𝑎 𝑑𝑒 𝑙𝑎 𝑠𝑒𝑐𝑐𝑖o𝑛 𝑑𝑒𝑙 𝑡𝑎𝑛𝑞𝑢𝑒</a:t>
              </a:r>
              <a:endParaRPr lang="es-CO" sz="1800">
                <a:solidFill>
                  <a:schemeClr val="bg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ES" sz="1400" b="0" i="0">
                  <a:solidFill>
                    <a:schemeClr val="bg1"/>
                  </a:solidFill>
                  <a:effectLst/>
                  <a:latin typeface="Cambria Math" panose="02040503050406030204" pitchFamily="18" charset="0"/>
                  <a:ea typeface="+mn-ea"/>
                  <a:cs typeface="+mn-cs"/>
                </a:rPr>
                <a:t>𝑎=Á𝑟𝑒𝑎 𝑑𝑒𝑙 𝑜𝑟𝑖𝑓𝑖𝑐𝑖𝑜 𝑑𝑒 𝑠𝑎𝑙𝑖𝑑𝑎</a:t>
              </a:r>
              <a:r>
                <a:rPr lang="es-ES" sz="1800" b="0">
                  <a:solidFill>
                    <a:schemeClr val="bg1"/>
                  </a:solidFill>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es-ES" sz="1800" b="0" i="1">
                <a:solidFill>
                  <a:schemeClr val="bg1"/>
                </a:solidFill>
                <a:latin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s-ES" sz="1800" b="0" i="0">
                  <a:solidFill>
                    <a:schemeClr val="bg1"/>
                  </a:solidFill>
                  <a:latin typeface="Cambria Math" panose="02040503050406030204" pitchFamily="18" charset="0"/>
                </a:rPr>
                <a:t>𝐴(ℎ)_𝐴𝑄𝑈𝐴𝐶𝐸𝐿𝐿=𝐿∗𝑊</a:t>
              </a:r>
              <a:endParaRPr lang="es-MX" sz="1800" b="0" i="1">
                <a:solidFill>
                  <a:schemeClr val="bg1"/>
                </a:solidFill>
                <a:latin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s-ES" sz="1800" b="0" i="1">
                <a:solidFill>
                  <a:schemeClr val="bg1"/>
                </a:solidFill>
                <a:latin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s-ES" sz="1800" b="0" i="0">
                  <a:solidFill>
                    <a:schemeClr val="bg1"/>
                  </a:solidFill>
                  <a:latin typeface="Cambria Math" panose="02040503050406030204" pitchFamily="18" charset="0"/>
                </a:rPr>
                <a:t>𝑎=</a:t>
              </a:r>
              <a:r>
                <a:rPr lang="es-ES" sz="1800" b="0" i="0">
                  <a:solidFill>
                    <a:schemeClr val="bg1"/>
                  </a:solidFill>
                  <a:latin typeface="Cambria Math" panose="02040503050406030204" pitchFamily="18" charset="0"/>
                  <a:ea typeface="Cambria Math" panose="02040503050406030204" pitchFamily="18" charset="0"/>
                </a:rPr>
                <a:t>𝜋/4 𝐷^2  ;𝑐=0.82</a:t>
              </a:r>
              <a:endParaRPr lang="es-MX" sz="1800" b="0" i="1">
                <a:solidFill>
                  <a:schemeClr val="bg1"/>
                </a:solidFill>
                <a:latin typeface="Cambria Math" panose="02040503050406030204" pitchFamily="18" charset="0"/>
                <a:ea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s-ES" sz="1800" b="0" i="1">
                <a:solidFill>
                  <a:schemeClr val="bg1"/>
                </a:solidFill>
                <a:latin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s-ES" sz="1800" b="0" i="0">
                  <a:solidFill>
                    <a:schemeClr val="bg1"/>
                  </a:solidFill>
                  <a:latin typeface="Cambria Math" panose="02040503050406030204" pitchFamily="18" charset="0"/>
                </a:rPr>
                <a:t>𝐴(ℎ)/(𝑎𝑐√2𝑔) ∫1▒〖𝑑ℎ/√ℎ=−∫1▒𝑑𝑡〗     ;𝑘=  𝐴(ℎ)/(𝑎𝑐√2𝑔)  </a:t>
              </a:r>
              <a:endParaRPr lang="es-MX" sz="1800" b="0" i="1">
                <a:solidFill>
                  <a:schemeClr val="bg1"/>
                </a:solidFill>
                <a:latin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s-ES" sz="1800" b="0" i="1">
                <a:solidFill>
                  <a:schemeClr val="bg1"/>
                </a:solidFill>
                <a:latin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s-ES" sz="1800" b="0" i="0">
                  <a:solidFill>
                    <a:schemeClr val="bg1"/>
                  </a:solidFill>
                  <a:latin typeface="Cambria Math" panose="02040503050406030204" pitchFamily="18" charset="0"/>
                </a:rPr>
                <a:t>𝑘∫_0^(ℎ_𝑚𝑎𝑥)▒𝑑ℎ/√ℎ</a:t>
              </a:r>
              <a:r>
                <a:rPr lang="es-CO" sz="1800" i="0">
                  <a:solidFill>
                    <a:schemeClr val="bg1"/>
                  </a:solidFill>
                  <a:latin typeface="Cambria Math" panose="02040503050406030204" pitchFamily="18" charset="0"/>
                </a:rPr>
                <a:t>=</a:t>
              </a:r>
              <a:r>
                <a:rPr lang="es-ES" sz="1800" b="0" i="0">
                  <a:solidFill>
                    <a:schemeClr val="bg1"/>
                  </a:solidFill>
                  <a:latin typeface="Cambria Math" panose="02040503050406030204" pitchFamily="18" charset="0"/>
                </a:rPr>
                <a:t>−</a:t>
              </a:r>
              <a:r>
                <a:rPr lang="es-CO" sz="1800" i="0">
                  <a:solidFill>
                    <a:schemeClr val="bg1"/>
                  </a:solidFill>
                  <a:latin typeface="Cambria Math" panose="02040503050406030204" pitchFamily="18" charset="0"/>
                </a:rPr>
                <a:t>∫</a:t>
              </a:r>
              <a:r>
                <a:rPr lang="es-ES" sz="1800" b="0" i="0">
                  <a:solidFill>
                    <a:schemeClr val="bg1"/>
                  </a:solidFill>
                  <a:latin typeface="Cambria Math" panose="02040503050406030204" pitchFamily="18" charset="0"/>
                </a:rPr>
                <a:t>_𝑡^(𝑡_0)▒𝑑𝑡</a:t>
              </a:r>
              <a:endParaRPr lang="es-MX" sz="1800" b="0" i="1">
                <a:solidFill>
                  <a:schemeClr val="bg1"/>
                </a:solidFill>
                <a:latin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s-CO" sz="1800" i="1">
                <a:solidFill>
                  <a:schemeClr val="bg1"/>
                </a:solidFill>
                <a:effectLst/>
                <a:latin typeface="Cambria Math" panose="02040503050406030204" pitchFamily="18"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CO" sz="1800" i="0">
                  <a:solidFill>
                    <a:schemeClr val="bg1"/>
                  </a:solidFill>
                  <a:effectLst/>
                  <a:latin typeface="Cambria Math" panose="02040503050406030204" pitchFamily="18" charset="0"/>
                  <a:ea typeface="+mn-ea"/>
                  <a:cs typeface="+mn-cs"/>
                </a:rPr>
                <a:t>〖</a:t>
              </a:r>
              <a:r>
                <a:rPr lang="es-ES" sz="1800" b="0" i="0">
                  <a:solidFill>
                    <a:schemeClr val="bg1"/>
                  </a:solidFill>
                  <a:effectLst/>
                  <a:latin typeface="Cambria Math" panose="02040503050406030204" pitchFamily="18" charset="0"/>
                  <a:ea typeface="+mn-ea"/>
                  <a:cs typeface="+mn-cs"/>
                </a:rPr>
                <a:t>𝑘</a:t>
              </a:r>
              <a:r>
                <a:rPr lang="es-CO" sz="1800" b="0" i="0">
                  <a:solidFill>
                    <a:schemeClr val="bg1"/>
                  </a:solidFill>
                  <a:effectLst/>
                  <a:latin typeface="Cambria Math" panose="02040503050406030204" pitchFamily="18" charset="0"/>
                  <a:ea typeface="+mn-ea"/>
                  <a:cs typeface="+mn-cs"/>
                </a:rPr>
                <a:t>[</a:t>
              </a:r>
              <a:r>
                <a:rPr lang="es-ES" sz="1800" b="0" i="0">
                  <a:solidFill>
                    <a:schemeClr val="bg1"/>
                  </a:solidFill>
                  <a:effectLst/>
                  <a:latin typeface="Cambria Math" panose="02040503050406030204" pitchFamily="18" charset="0"/>
                  <a:ea typeface="+mn-ea"/>
                  <a:cs typeface="+mn-cs"/>
                </a:rPr>
                <a:t>2√ℎ]</a:t>
              </a:r>
              <a:r>
                <a:rPr lang="es-CO" sz="1800" b="0" i="0">
                  <a:solidFill>
                    <a:schemeClr val="bg1"/>
                  </a:solidFill>
                  <a:effectLst/>
                  <a:latin typeface="Cambria Math" panose="02040503050406030204" pitchFamily="18" charset="0"/>
                  <a:ea typeface="+mn-ea"/>
                  <a:cs typeface="+mn-cs"/>
                </a:rPr>
                <a:t>〗_</a:t>
              </a:r>
              <a:r>
                <a:rPr lang="es-ES" sz="1800" b="0" i="0">
                  <a:solidFill>
                    <a:schemeClr val="bg1"/>
                  </a:solidFill>
                  <a:effectLst/>
                  <a:latin typeface="Cambria Math" panose="02040503050406030204" pitchFamily="18" charset="0"/>
                  <a:ea typeface="+mn-ea"/>
                  <a:cs typeface="+mn-cs"/>
                </a:rPr>
                <a:t>0^</a:t>
              </a:r>
              <a:r>
                <a:rPr lang="es-CO" sz="1800" b="0" i="0">
                  <a:solidFill>
                    <a:schemeClr val="bg1"/>
                  </a:solidFill>
                  <a:effectLst/>
                  <a:latin typeface="Cambria Math" panose="02040503050406030204" pitchFamily="18" charset="0"/>
                  <a:ea typeface="+mn-ea"/>
                  <a:cs typeface="+mn-cs"/>
                </a:rPr>
                <a:t>(</a:t>
              </a:r>
              <a:r>
                <a:rPr lang="es-ES" sz="1800" b="0" i="0">
                  <a:solidFill>
                    <a:schemeClr val="bg1"/>
                  </a:solidFill>
                  <a:effectLst/>
                  <a:latin typeface="Cambria Math" panose="02040503050406030204" pitchFamily="18" charset="0"/>
                  <a:ea typeface="+mn-ea"/>
                  <a:cs typeface="+mn-cs"/>
                </a:rPr>
                <a:t>ℎ</a:t>
              </a:r>
              <a:r>
                <a:rPr lang="es-CO" sz="1800" b="0" i="0">
                  <a:solidFill>
                    <a:schemeClr val="bg1"/>
                  </a:solidFill>
                  <a:effectLst/>
                  <a:latin typeface="Cambria Math" panose="02040503050406030204" pitchFamily="18" charset="0"/>
                  <a:ea typeface="+mn-ea"/>
                  <a:cs typeface="+mn-cs"/>
                </a:rPr>
                <a:t>_</a:t>
              </a:r>
              <a:r>
                <a:rPr lang="es-ES" sz="1800" b="0" i="0">
                  <a:solidFill>
                    <a:schemeClr val="bg1"/>
                  </a:solidFill>
                  <a:effectLst/>
                  <a:latin typeface="Cambria Math" panose="02040503050406030204" pitchFamily="18" charset="0"/>
                  <a:ea typeface="+mn-ea"/>
                  <a:cs typeface="+mn-cs"/>
                </a:rPr>
                <a:t>𝑚𝑎𝑥 </a:t>
              </a:r>
              <a:r>
                <a:rPr lang="es-CO" sz="1800" b="0" i="0">
                  <a:solidFill>
                    <a:schemeClr val="bg1"/>
                  </a:solidFill>
                  <a:effectLst/>
                  <a:latin typeface="Cambria Math" panose="02040503050406030204" pitchFamily="18" charset="0"/>
                  <a:ea typeface="+mn-ea"/>
                  <a:cs typeface="+mn-cs"/>
                </a:rPr>
                <a:t>)</a:t>
              </a:r>
              <a:r>
                <a:rPr lang="es-ES" sz="1800" b="0" i="0">
                  <a:solidFill>
                    <a:schemeClr val="bg1"/>
                  </a:solidFill>
                  <a:effectLst/>
                  <a:latin typeface="Cambria Math" panose="02040503050406030204" pitchFamily="18" charset="0"/>
                  <a:ea typeface="+mn-ea"/>
                  <a:cs typeface="+mn-cs"/>
                </a:rPr>
                <a:t>=〖−[𝑡]〗_𝑡^(𝑡_0 )</a:t>
              </a:r>
              <a:endParaRPr lang="es-MX" sz="1800" b="0" i="1">
                <a:solidFill>
                  <a:schemeClr val="bg1"/>
                </a:solidFill>
                <a:effectLst/>
                <a:latin typeface="Cambria Math" panose="02040503050406030204" pitchFamily="18"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s-ES" sz="1800" b="0" i="1">
                <a:solidFill>
                  <a:schemeClr val="bg1"/>
                </a:solidFill>
                <a:effectLst/>
                <a:latin typeface="Cambria Math" panose="02040503050406030204" pitchFamily="18"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ES" sz="1800" b="0" i="0">
                  <a:solidFill>
                    <a:schemeClr val="bg1"/>
                  </a:solidFill>
                  <a:effectLst/>
                  <a:latin typeface="Cambria Math" panose="02040503050406030204" pitchFamily="18" charset="0"/>
                  <a:ea typeface="+mn-ea"/>
                  <a:cs typeface="+mn-cs"/>
                </a:rPr>
                <a:t>2𝑘(√(ℎ_𝑚𝑎𝑥 )−√0)=−(𝑡_0−𝑡)</a:t>
              </a:r>
              <a:endParaRPr lang="es-MX" sz="1800" b="0" i="1">
                <a:solidFill>
                  <a:schemeClr val="bg1"/>
                </a:solidFill>
                <a:effectLst/>
                <a:latin typeface="Cambria Math" panose="02040503050406030204" pitchFamily="18"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s-ES" sz="1800" b="0" i="1">
                <a:solidFill>
                  <a:schemeClr val="bg1"/>
                </a:solidFill>
                <a:latin typeface="Cambria Math" panose="020405030504060302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s-ES" sz="1800" b="0" i="0">
                  <a:solidFill>
                    <a:schemeClr val="bg1"/>
                  </a:solidFill>
                  <a:latin typeface="Cambria Math" panose="02040503050406030204" pitchFamily="18" charset="0"/>
                </a:rPr>
                <a:t>2𝐴(ℎ)/(𝑎∗0.</a:t>
              </a:r>
              <a:r>
                <a:rPr lang="es-MX" sz="1800" b="0" i="0">
                  <a:solidFill>
                    <a:schemeClr val="bg1"/>
                  </a:solidFill>
                  <a:latin typeface="Cambria Math" panose="02040503050406030204" pitchFamily="18" charset="0"/>
                </a:rPr>
                <a:t>82</a:t>
              </a:r>
              <a:r>
                <a:rPr lang="es-ES" sz="1800" b="0" i="0">
                  <a:solidFill>
                    <a:schemeClr val="bg1"/>
                  </a:solidFill>
                  <a:latin typeface="Cambria Math" panose="02040503050406030204" pitchFamily="18" charset="0"/>
                </a:rPr>
                <a:t>√2𝑔) √(ℎ_𝑚𝑎𝑥 )=𝑡</a:t>
              </a:r>
              <a:endParaRPr lang="es-CO" sz="1800">
                <a:solidFill>
                  <a:schemeClr val="bg1"/>
                </a:solidFill>
              </a:endParaRPr>
            </a:p>
          </xdr:txBody>
        </xdr:sp>
      </mc:Fallback>
    </mc:AlternateContent>
    <xdr:clientData/>
  </xdr:twoCellAnchor>
  <xdr:twoCellAnchor editAs="absolute">
    <xdr:from>
      <xdr:col>17</xdr:col>
      <xdr:colOff>31749</xdr:colOff>
      <xdr:row>82</xdr:row>
      <xdr:rowOff>142874</xdr:rowOff>
    </xdr:from>
    <xdr:to>
      <xdr:col>17</xdr:col>
      <xdr:colOff>974531</xdr:colOff>
      <xdr:row>89</xdr:row>
      <xdr:rowOff>10668</xdr:rowOff>
    </xdr:to>
    <xdr:grpSp>
      <xdr:nvGrpSpPr>
        <xdr:cNvPr id="47" name="Boton Datos de Proy Down">
          <a:extLst>
            <a:ext uri="{FF2B5EF4-FFF2-40B4-BE49-F238E27FC236}">
              <a16:creationId xmlns:a16="http://schemas.microsoft.com/office/drawing/2014/main" id="{00000000-0008-0000-0600-00002F000000}"/>
            </a:ext>
          </a:extLst>
        </xdr:cNvPr>
        <xdr:cNvGrpSpPr>
          <a:grpSpLocks noChangeAspect="1"/>
        </xdr:cNvGrpSpPr>
      </xdr:nvGrpSpPr>
      <xdr:grpSpPr>
        <a:xfrm>
          <a:off x="12985749" y="15763874"/>
          <a:ext cx="942782" cy="1201294"/>
          <a:chOff x="1725407" y="1124918"/>
          <a:chExt cx="1048614" cy="1520915"/>
        </a:xfrm>
      </xdr:grpSpPr>
      <xdr:sp macro="[0]!Volver_Datos_Proy" textlink="">
        <xdr:nvSpPr>
          <xdr:cNvPr id="48" name="Octágono 47">
            <a:extLst>
              <a:ext uri="{FF2B5EF4-FFF2-40B4-BE49-F238E27FC236}">
                <a16:creationId xmlns:a16="http://schemas.microsoft.com/office/drawing/2014/main" id="{00000000-0008-0000-0600-000030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Volver_Datos_Proy" textlink="">
        <xdr:nvSpPr>
          <xdr:cNvPr id="49" name="CuadroTexto 48">
            <a:extLst>
              <a:ext uri="{FF2B5EF4-FFF2-40B4-BE49-F238E27FC236}">
                <a16:creationId xmlns:a16="http://schemas.microsoft.com/office/drawing/2014/main" id="{00000000-0008-0000-0600-000031000000}"/>
              </a:ext>
            </a:extLst>
          </xdr:cNvPr>
          <xdr:cNvSpPr txBox="1"/>
        </xdr:nvSpPr>
        <xdr:spPr>
          <a:xfrm>
            <a:off x="1725407" y="1124918"/>
            <a:ext cx="1048614" cy="1021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DATOS DE PROYECTO</a:t>
            </a:r>
          </a:p>
        </xdr:txBody>
      </xdr:sp>
      <xdr:pic macro="[0]!Volver_Datos_Proy">
        <xdr:nvPicPr>
          <xdr:cNvPr id="50" name="Imagen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twoCellAnchor editAs="absolute">
    <xdr:from>
      <xdr:col>17</xdr:col>
      <xdr:colOff>31749</xdr:colOff>
      <xdr:row>21</xdr:row>
      <xdr:rowOff>104513</xdr:rowOff>
    </xdr:from>
    <xdr:to>
      <xdr:col>17</xdr:col>
      <xdr:colOff>974531</xdr:colOff>
      <xdr:row>27</xdr:row>
      <xdr:rowOff>162808</xdr:rowOff>
    </xdr:to>
    <xdr:grpSp>
      <xdr:nvGrpSpPr>
        <xdr:cNvPr id="43" name="Boton Datos de Proy Up">
          <a:extLst>
            <a:ext uri="{FF2B5EF4-FFF2-40B4-BE49-F238E27FC236}">
              <a16:creationId xmlns:a16="http://schemas.microsoft.com/office/drawing/2014/main" id="{00000000-0008-0000-0600-00002B000000}"/>
            </a:ext>
          </a:extLst>
        </xdr:cNvPr>
        <xdr:cNvGrpSpPr>
          <a:grpSpLocks noChangeAspect="1"/>
        </xdr:cNvGrpSpPr>
      </xdr:nvGrpSpPr>
      <xdr:grpSpPr>
        <a:xfrm>
          <a:off x="12985749" y="4105013"/>
          <a:ext cx="942782" cy="1201295"/>
          <a:chOff x="1725407" y="1124918"/>
          <a:chExt cx="1048614" cy="1520915"/>
        </a:xfrm>
      </xdr:grpSpPr>
      <xdr:sp macro="[0]!Volver_Datos_Proy" textlink="">
        <xdr:nvSpPr>
          <xdr:cNvPr id="44" name="Octágono 43">
            <a:extLst>
              <a:ext uri="{FF2B5EF4-FFF2-40B4-BE49-F238E27FC236}">
                <a16:creationId xmlns:a16="http://schemas.microsoft.com/office/drawing/2014/main" id="{00000000-0008-0000-0600-00002C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Volver_Datos_Proy" textlink="">
        <xdr:nvSpPr>
          <xdr:cNvPr id="45" name="CuadroTexto 44">
            <a:extLst>
              <a:ext uri="{FF2B5EF4-FFF2-40B4-BE49-F238E27FC236}">
                <a16:creationId xmlns:a16="http://schemas.microsoft.com/office/drawing/2014/main" id="{00000000-0008-0000-0600-00002D000000}"/>
              </a:ext>
            </a:extLst>
          </xdr:cNvPr>
          <xdr:cNvSpPr txBox="1"/>
        </xdr:nvSpPr>
        <xdr:spPr>
          <a:xfrm>
            <a:off x="1725407" y="1124918"/>
            <a:ext cx="1048614" cy="1021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DATOS DE PROYECTO</a:t>
            </a:r>
          </a:p>
        </xdr:txBody>
      </xdr:sp>
      <xdr:pic macro="[0]!Volver_Datos_Proy">
        <xdr:nvPicPr>
          <xdr:cNvPr id="46" name="Imagen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twoCellAnchor editAs="absolute">
    <xdr:from>
      <xdr:col>3</xdr:col>
      <xdr:colOff>433919</xdr:colOff>
      <xdr:row>44</xdr:row>
      <xdr:rowOff>95253</xdr:rowOff>
    </xdr:from>
    <xdr:to>
      <xdr:col>11</xdr:col>
      <xdr:colOff>2</xdr:colOff>
      <xdr:row>46</xdr:row>
      <xdr:rowOff>97370</xdr:rowOff>
    </xdr:to>
    <xdr:grpSp>
      <xdr:nvGrpSpPr>
        <xdr:cNvPr id="39" name="Procedimiento">
          <a:extLst>
            <a:ext uri="{FF2B5EF4-FFF2-40B4-BE49-F238E27FC236}">
              <a16:creationId xmlns:a16="http://schemas.microsoft.com/office/drawing/2014/main" id="{00000000-0008-0000-0600-000027000000}"/>
            </a:ext>
          </a:extLst>
        </xdr:cNvPr>
        <xdr:cNvGrpSpPr>
          <a:grpSpLocks noChangeAspect="1"/>
        </xdr:cNvGrpSpPr>
      </xdr:nvGrpSpPr>
      <xdr:grpSpPr>
        <a:xfrm>
          <a:off x="2719919" y="8477253"/>
          <a:ext cx="5662083" cy="383117"/>
          <a:chOff x="3810000" y="14319250"/>
          <a:chExt cx="5662083" cy="383117"/>
        </a:xfrm>
      </xdr:grpSpPr>
      <xdr:sp macro="" textlink="">
        <xdr:nvSpPr>
          <xdr:cNvPr id="40" name="Rectángulo: esquinas diagonales cortadas 39">
            <a:extLst>
              <a:ext uri="{FF2B5EF4-FFF2-40B4-BE49-F238E27FC236}">
                <a16:creationId xmlns:a16="http://schemas.microsoft.com/office/drawing/2014/main" id="{00000000-0008-0000-0600-000028000000}"/>
              </a:ext>
            </a:extLst>
          </xdr:cNvPr>
          <xdr:cNvSpPr/>
        </xdr:nvSpPr>
        <xdr:spPr>
          <a:xfrm flipV="1">
            <a:off x="4011081" y="14319250"/>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1" name="CuadroTexto 40">
            <a:extLst>
              <a:ext uri="{FF2B5EF4-FFF2-40B4-BE49-F238E27FC236}">
                <a16:creationId xmlns:a16="http://schemas.microsoft.com/office/drawing/2014/main" id="{00000000-0008-0000-0600-000029000000}"/>
              </a:ext>
            </a:extLst>
          </xdr:cNvPr>
          <xdr:cNvSpPr txBox="1"/>
        </xdr:nvSpPr>
        <xdr:spPr>
          <a:xfrm>
            <a:off x="3810000" y="14353304"/>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PROCEDIMIENTO DE CÁLCULO DE VACIADO DE UN TANQUE DE TORMENTA</a:t>
            </a:r>
          </a:p>
        </xdr:txBody>
      </xdr:sp>
    </xdr:grpSp>
    <xdr:clientData/>
  </xdr:twoCellAnchor>
  <xdr:twoCellAnchor editAs="absolute">
    <xdr:from>
      <xdr:col>3</xdr:col>
      <xdr:colOff>433919</xdr:colOff>
      <xdr:row>22</xdr:row>
      <xdr:rowOff>107184</xdr:rowOff>
    </xdr:from>
    <xdr:to>
      <xdr:col>11</xdr:col>
      <xdr:colOff>2</xdr:colOff>
      <xdr:row>24</xdr:row>
      <xdr:rowOff>109301</xdr:rowOff>
    </xdr:to>
    <xdr:grpSp>
      <xdr:nvGrpSpPr>
        <xdr:cNvPr id="25" name="Valores de Caudal">
          <a:extLst>
            <a:ext uri="{FF2B5EF4-FFF2-40B4-BE49-F238E27FC236}">
              <a16:creationId xmlns:a16="http://schemas.microsoft.com/office/drawing/2014/main" id="{00000000-0008-0000-0600-000019000000}"/>
            </a:ext>
          </a:extLst>
        </xdr:cNvPr>
        <xdr:cNvGrpSpPr>
          <a:grpSpLocks noChangeAspect="1"/>
        </xdr:cNvGrpSpPr>
      </xdr:nvGrpSpPr>
      <xdr:grpSpPr>
        <a:xfrm>
          <a:off x="2719919" y="4298184"/>
          <a:ext cx="5662083" cy="383117"/>
          <a:chOff x="3810000" y="14319250"/>
          <a:chExt cx="5662083" cy="383117"/>
        </a:xfrm>
      </xdr:grpSpPr>
      <xdr:sp macro="" textlink="">
        <xdr:nvSpPr>
          <xdr:cNvPr id="26" name="Rectángulo: esquinas diagonales cortadas 25">
            <a:extLst>
              <a:ext uri="{FF2B5EF4-FFF2-40B4-BE49-F238E27FC236}">
                <a16:creationId xmlns:a16="http://schemas.microsoft.com/office/drawing/2014/main" id="{00000000-0008-0000-0600-00001A000000}"/>
              </a:ext>
            </a:extLst>
          </xdr:cNvPr>
          <xdr:cNvSpPr/>
        </xdr:nvSpPr>
        <xdr:spPr>
          <a:xfrm flipV="1">
            <a:off x="4011081" y="14319250"/>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7" name="CuadroTexto 26">
            <a:extLst>
              <a:ext uri="{FF2B5EF4-FFF2-40B4-BE49-F238E27FC236}">
                <a16:creationId xmlns:a16="http://schemas.microsoft.com/office/drawing/2014/main" id="{00000000-0008-0000-0600-00001B000000}"/>
              </a:ext>
            </a:extLst>
          </xdr:cNvPr>
          <xdr:cNvSpPr txBox="1"/>
        </xdr:nvSpPr>
        <xdr:spPr>
          <a:xfrm>
            <a:off x="3810000" y="14353304"/>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VALORES DE CAUDAL Y VELOCIDAD EN LA DESCARGA DEL TANQUE</a:t>
            </a:r>
          </a:p>
        </xdr:txBody>
      </xdr:sp>
    </xdr:grpSp>
    <xdr:clientData/>
  </xdr:twoCellAnchor>
  <xdr:twoCellAnchor editAs="absolute">
    <xdr:from>
      <xdr:col>3</xdr:col>
      <xdr:colOff>433919</xdr:colOff>
      <xdr:row>5</xdr:row>
      <xdr:rowOff>100543</xdr:rowOff>
    </xdr:from>
    <xdr:to>
      <xdr:col>11</xdr:col>
      <xdr:colOff>2</xdr:colOff>
      <xdr:row>7</xdr:row>
      <xdr:rowOff>102660</xdr:rowOff>
    </xdr:to>
    <xdr:grpSp>
      <xdr:nvGrpSpPr>
        <xdr:cNvPr id="18" name="Estimacion tiempo">
          <a:extLst>
            <a:ext uri="{FF2B5EF4-FFF2-40B4-BE49-F238E27FC236}">
              <a16:creationId xmlns:a16="http://schemas.microsoft.com/office/drawing/2014/main" id="{00000000-0008-0000-0600-000012000000}"/>
            </a:ext>
          </a:extLst>
        </xdr:cNvPr>
        <xdr:cNvGrpSpPr>
          <a:grpSpLocks noChangeAspect="1"/>
        </xdr:cNvGrpSpPr>
      </xdr:nvGrpSpPr>
      <xdr:grpSpPr>
        <a:xfrm>
          <a:off x="2719919" y="1053043"/>
          <a:ext cx="5662083" cy="383117"/>
          <a:chOff x="2719919" y="1100667"/>
          <a:chExt cx="5662083" cy="383117"/>
        </a:xfrm>
      </xdr:grpSpPr>
      <xdr:sp macro="" textlink="">
        <xdr:nvSpPr>
          <xdr:cNvPr id="19" name="Rectángulo: esquinas diagonales cortadas 18">
            <a:extLst>
              <a:ext uri="{FF2B5EF4-FFF2-40B4-BE49-F238E27FC236}">
                <a16:creationId xmlns:a16="http://schemas.microsoft.com/office/drawing/2014/main" id="{00000000-0008-0000-0600-000013000000}"/>
              </a:ext>
            </a:extLst>
          </xdr:cNvPr>
          <xdr:cNvSpPr/>
        </xdr:nvSpPr>
        <xdr:spPr>
          <a:xfrm flipV="1">
            <a:off x="2921000" y="1100667"/>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0" name="CuadroTexto 19">
            <a:extLst>
              <a:ext uri="{FF2B5EF4-FFF2-40B4-BE49-F238E27FC236}">
                <a16:creationId xmlns:a16="http://schemas.microsoft.com/office/drawing/2014/main" id="{00000000-0008-0000-0600-000014000000}"/>
              </a:ext>
            </a:extLst>
          </xdr:cNvPr>
          <xdr:cNvSpPr txBox="1"/>
        </xdr:nvSpPr>
        <xdr:spPr>
          <a:xfrm>
            <a:off x="2719919" y="1134721"/>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ESTIMACIÓN DEL TIEPO DE VACIADO DEL TANQUE AQUACELL</a:t>
            </a:r>
            <a:endParaRPr lang="es-CO" sz="1400" b="1" baseline="0">
              <a:solidFill>
                <a:schemeClr val="bg1"/>
              </a:solidFill>
              <a:latin typeface="PT Sans Narrow" panose="020B0506020203020204" pitchFamily="34" charset="0"/>
            </a:endParaRPr>
          </a:p>
          <a:p>
            <a:pPr algn="ctr"/>
            <a:endParaRPr lang="es-CO" sz="1400" b="1">
              <a:solidFill>
                <a:schemeClr val="bg1"/>
              </a:solidFill>
              <a:latin typeface="PT Sans Narrow" panose="020B0506020203020204" pitchFamily="34" charset="0"/>
            </a:endParaRPr>
          </a:p>
        </xdr:txBody>
      </xdr:sp>
    </xdr:grpSp>
    <xdr:clientData/>
  </xdr:twoCellAnchor>
  <xdr:twoCellAnchor editAs="absolute">
    <xdr:from>
      <xdr:col>12</xdr:col>
      <xdr:colOff>469278</xdr:colOff>
      <xdr:row>0</xdr:row>
      <xdr:rowOff>21166</xdr:rowOff>
    </xdr:from>
    <xdr:to>
      <xdr:col>15</xdr:col>
      <xdr:colOff>11205</xdr:colOff>
      <xdr:row>5</xdr:row>
      <xdr:rowOff>33618</xdr:rowOff>
    </xdr:to>
    <xdr:grpSp>
      <xdr:nvGrpSpPr>
        <xdr:cNvPr id="23" name="DDM">
          <a:extLst>
            <a:ext uri="{FF2B5EF4-FFF2-40B4-BE49-F238E27FC236}">
              <a16:creationId xmlns:a16="http://schemas.microsoft.com/office/drawing/2014/main" id="{00000000-0008-0000-0600-000017000000}"/>
            </a:ext>
          </a:extLst>
        </xdr:cNvPr>
        <xdr:cNvGrpSpPr>
          <a:grpSpLocks noChangeAspect="1"/>
        </xdr:cNvGrpSpPr>
      </xdr:nvGrpSpPr>
      <xdr:grpSpPr>
        <a:xfrm>
          <a:off x="9613278" y="21166"/>
          <a:ext cx="1827927" cy="964952"/>
          <a:chOff x="9613278" y="21166"/>
          <a:chExt cx="1827927" cy="964952"/>
        </a:xfrm>
      </xdr:grpSpPr>
      <xdr:sp macro="[0]!DDM" textlink="">
        <xdr:nvSpPr>
          <xdr:cNvPr id="7" name="Pestaña DDM">
            <a:extLst>
              <a:ext uri="{FF2B5EF4-FFF2-40B4-BE49-F238E27FC236}">
                <a16:creationId xmlns:a16="http://schemas.microsoft.com/office/drawing/2014/main" id="{00000000-0008-0000-0600-000007000000}"/>
              </a:ext>
            </a:extLst>
          </xdr:cNvPr>
          <xdr:cNvSpPr/>
        </xdr:nvSpPr>
        <xdr:spPr>
          <a:xfrm flipH="1">
            <a:off x="9613278" y="21166"/>
            <a:ext cx="1810800" cy="964952"/>
          </a:xfrm>
          <a:custGeom>
            <a:avLst/>
            <a:gdLst>
              <a:gd name="connsiteX0" fmla="*/ 289766 w 1739654"/>
              <a:gd name="connsiteY0" fmla="*/ 0 h 857912"/>
              <a:gd name="connsiteX1" fmla="*/ 1153172 w 1739654"/>
              <a:gd name="connsiteY1" fmla="*/ 0 h 857912"/>
              <a:gd name="connsiteX2" fmla="*/ 1171726 w 1739654"/>
              <a:gd name="connsiteY2" fmla="*/ 1871 h 857912"/>
              <a:gd name="connsiteX3" fmla="*/ 1448928 w 1739654"/>
              <a:gd name="connsiteY3" fmla="*/ 279073 h 857912"/>
              <a:gd name="connsiteX4" fmla="*/ 1449888 w 1739654"/>
              <a:gd name="connsiteY4" fmla="*/ 288599 h 857912"/>
              <a:gd name="connsiteX5" fmla="*/ 1449888 w 1739654"/>
              <a:gd name="connsiteY5" fmla="*/ 568146 h 857912"/>
              <a:gd name="connsiteX6" fmla="*/ 1739654 w 1739654"/>
              <a:gd name="connsiteY6" fmla="*/ 857912 h 857912"/>
              <a:gd name="connsiteX7" fmla="*/ 352308 w 1739654"/>
              <a:gd name="connsiteY7" fmla="*/ 857912 h 857912"/>
              <a:gd name="connsiteX8" fmla="*/ 0 w 1739654"/>
              <a:gd name="connsiteY8" fmla="*/ 857912 h 857912"/>
              <a:gd name="connsiteX9" fmla="*/ 0 w 1739654"/>
              <a:gd name="connsiteY9" fmla="*/ 289766 h 857912"/>
              <a:gd name="connsiteX10" fmla="*/ 289766 w 1739654"/>
              <a:gd name="connsiteY10" fmla="*/ 0 h 857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39654" h="857912">
                <a:moveTo>
                  <a:pt x="289766" y="0"/>
                </a:moveTo>
                <a:lnTo>
                  <a:pt x="1153172" y="0"/>
                </a:lnTo>
                <a:lnTo>
                  <a:pt x="1171726" y="1871"/>
                </a:lnTo>
                <a:cubicBezTo>
                  <a:pt x="1310865" y="30343"/>
                  <a:pt x="1420456" y="139933"/>
                  <a:pt x="1448928" y="279073"/>
                </a:cubicBezTo>
                <a:lnTo>
                  <a:pt x="1449888" y="288599"/>
                </a:lnTo>
                <a:lnTo>
                  <a:pt x="1449888" y="568146"/>
                </a:lnTo>
                <a:cubicBezTo>
                  <a:pt x="1449888" y="728179"/>
                  <a:pt x="1579621" y="857912"/>
                  <a:pt x="1739654" y="857912"/>
                </a:cubicBezTo>
                <a:lnTo>
                  <a:pt x="352308" y="857912"/>
                </a:lnTo>
                <a:lnTo>
                  <a:pt x="0" y="857912"/>
                </a:lnTo>
                <a:lnTo>
                  <a:pt x="0" y="289766"/>
                </a:lnTo>
                <a:cubicBezTo>
                  <a:pt x="0" y="129733"/>
                  <a:pt x="129733" y="0"/>
                  <a:pt x="289766" y="0"/>
                </a:cubicBezTo>
                <a:close/>
              </a:path>
            </a:pathLst>
          </a:custGeom>
          <a:solidFill>
            <a:srgbClr val="2B2B6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0]!DDM" textlink="">
        <xdr:nvSpPr>
          <xdr:cNvPr id="17" name="Texto DDM">
            <a:extLst>
              <a:ext uri="{FF2B5EF4-FFF2-40B4-BE49-F238E27FC236}">
                <a16:creationId xmlns:a16="http://schemas.microsoft.com/office/drawing/2014/main" id="{00000000-0008-0000-0600-000011000000}"/>
              </a:ext>
            </a:extLst>
          </xdr:cNvPr>
          <xdr:cNvSpPr txBox="1"/>
        </xdr:nvSpPr>
        <xdr:spPr>
          <a:xfrm>
            <a:off x="9872382" y="106456"/>
            <a:ext cx="1568823" cy="818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solidFill>
                <a:effectLst/>
                <a:latin typeface="PT Sans Narrow" panose="020B0506020203020204" pitchFamily="34" charset="0"/>
                <a:ea typeface="+mn-ea"/>
                <a:cs typeface="+mn-cs"/>
              </a:rPr>
              <a:t>DESPIECE</a:t>
            </a:r>
            <a:endParaRPr lang="es-CO" sz="1400" b="1" i="0" baseline="0">
              <a:solidFill>
                <a:schemeClr val="bg1"/>
              </a:solidFill>
              <a:effectLst/>
              <a:latin typeface="PT Sans Narrow" panose="020B0506020203020204" pitchFamily="34" charset="0"/>
              <a:ea typeface="+mn-ea"/>
              <a:cs typeface="+mn-cs"/>
            </a:endParaRPr>
          </a:p>
          <a:p>
            <a:pPr algn="ctr"/>
            <a:r>
              <a:rPr lang="es-CO" sz="1400" b="1" i="0" baseline="0">
                <a:solidFill>
                  <a:schemeClr val="bg1"/>
                </a:solidFill>
                <a:effectLst/>
                <a:latin typeface="PT Sans Narrow" panose="020B0506020203020204" pitchFamily="34" charset="0"/>
                <a:ea typeface="+mn-ea"/>
                <a:cs typeface="+mn-cs"/>
              </a:rPr>
              <a:t>DE</a:t>
            </a:r>
          </a:p>
          <a:p>
            <a:pPr algn="ctr"/>
            <a:r>
              <a:rPr lang="es-CO" sz="1400" b="1" i="0" baseline="0">
                <a:solidFill>
                  <a:schemeClr val="bg1"/>
                </a:solidFill>
                <a:effectLst/>
                <a:latin typeface="PT Sans Narrow" panose="020B0506020203020204" pitchFamily="34" charset="0"/>
                <a:ea typeface="+mn-ea"/>
                <a:cs typeface="+mn-cs"/>
              </a:rPr>
              <a:t>MATERIAL</a:t>
            </a:r>
            <a:endParaRPr lang="es-CO" sz="1400" b="1">
              <a:solidFill>
                <a:schemeClr val="bg1"/>
              </a:solidFill>
              <a:latin typeface="PT Sans Narrow" panose="020B0506020203020204" pitchFamily="34" charset="0"/>
            </a:endParaRPr>
          </a:p>
        </xdr:txBody>
      </xdr:sp>
    </xdr:grpSp>
    <xdr:clientData/>
  </xdr:twoCellAnchor>
  <xdr:twoCellAnchor editAs="absolute">
    <xdr:from>
      <xdr:col>10</xdr:col>
      <xdr:colOff>572123</xdr:colOff>
      <xdr:row>0</xdr:row>
      <xdr:rowOff>21166</xdr:rowOff>
    </xdr:from>
    <xdr:to>
      <xdr:col>13</xdr:col>
      <xdr:colOff>171499</xdr:colOff>
      <xdr:row>5</xdr:row>
      <xdr:rowOff>31747</xdr:rowOff>
    </xdr:to>
    <xdr:grpSp>
      <xdr:nvGrpSpPr>
        <xdr:cNvPr id="21" name="FL">
          <a:extLst>
            <a:ext uri="{FF2B5EF4-FFF2-40B4-BE49-F238E27FC236}">
              <a16:creationId xmlns:a16="http://schemas.microsoft.com/office/drawing/2014/main" id="{00000000-0008-0000-0600-000015000000}"/>
            </a:ext>
          </a:extLst>
        </xdr:cNvPr>
        <xdr:cNvGrpSpPr>
          <a:grpSpLocks noChangeAspect="1"/>
        </xdr:cNvGrpSpPr>
      </xdr:nvGrpSpPr>
      <xdr:grpSpPr>
        <a:xfrm>
          <a:off x="8192123" y="21166"/>
          <a:ext cx="1885376" cy="963081"/>
          <a:chOff x="8192123" y="21166"/>
          <a:chExt cx="1885376" cy="963081"/>
        </a:xfrm>
      </xdr:grpSpPr>
      <xdr:sp macro="FL" textlink="">
        <xdr:nvSpPr>
          <xdr:cNvPr id="8" name="Pestaña FL">
            <a:extLst>
              <a:ext uri="{FF2B5EF4-FFF2-40B4-BE49-F238E27FC236}">
                <a16:creationId xmlns:a16="http://schemas.microsoft.com/office/drawing/2014/main" id="{00000000-0008-0000-0600-000008000000}"/>
              </a:ext>
            </a:extLst>
          </xdr:cNvPr>
          <xdr:cNvSpPr/>
        </xdr:nvSpPr>
        <xdr:spPr>
          <a:xfrm flipH="1">
            <a:off x="8192123"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rgbClr val="2B2B62"/>
          </a:solidFill>
          <a:ln w="25400" cap="flat" cmpd="sng" algn="ctr">
            <a:solidFill>
              <a:schemeClr val="bg1">
                <a:lumMod val="100000"/>
              </a:schemeClr>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FL" textlink="">
        <xdr:nvSpPr>
          <xdr:cNvPr id="16" name="Texto FL">
            <a:extLst>
              <a:ext uri="{FF2B5EF4-FFF2-40B4-BE49-F238E27FC236}">
                <a16:creationId xmlns:a16="http://schemas.microsoft.com/office/drawing/2014/main" id="{00000000-0008-0000-0600-000010000000}"/>
              </a:ext>
            </a:extLst>
          </xdr:cNvPr>
          <xdr:cNvSpPr txBox="1"/>
        </xdr:nvSpPr>
        <xdr:spPr>
          <a:xfrm>
            <a:off x="8303559"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lumMod val="100000"/>
                  </a:schemeClr>
                </a:solidFill>
                <a:effectLst/>
                <a:latin typeface="PT Sans Narrow" panose="020B0506020203020204" pitchFamily="34" charset="0"/>
                <a:ea typeface="+mn-ea"/>
                <a:cs typeface="+mn-cs"/>
              </a:rPr>
              <a:t> FLOTACIÓN</a:t>
            </a:r>
            <a:endParaRPr lang="es-CO" sz="1400" b="1">
              <a:solidFill>
                <a:schemeClr val="bg1">
                  <a:lumMod val="100000"/>
                </a:schemeClr>
              </a:solidFill>
              <a:latin typeface="PT Sans Narrow" panose="020B0506020203020204" pitchFamily="34" charset="0"/>
            </a:endParaRPr>
          </a:p>
        </xdr:txBody>
      </xdr:sp>
    </xdr:grpSp>
    <xdr:clientData/>
  </xdr:twoCellAnchor>
  <xdr:twoCellAnchor editAs="absolute">
    <xdr:from>
      <xdr:col>8</xdr:col>
      <xdr:colOff>582088</xdr:colOff>
      <xdr:row>0</xdr:row>
      <xdr:rowOff>21166</xdr:rowOff>
    </xdr:from>
    <xdr:to>
      <xdr:col>11</xdr:col>
      <xdr:colOff>181464</xdr:colOff>
      <xdr:row>5</xdr:row>
      <xdr:rowOff>31747</xdr:rowOff>
    </xdr:to>
    <xdr:grpSp>
      <xdr:nvGrpSpPr>
        <xdr:cNvPr id="22" name="INF">
          <a:extLst>
            <a:ext uri="{FF2B5EF4-FFF2-40B4-BE49-F238E27FC236}">
              <a16:creationId xmlns:a16="http://schemas.microsoft.com/office/drawing/2014/main" id="{00000000-0008-0000-0600-000016000000}"/>
            </a:ext>
          </a:extLst>
        </xdr:cNvPr>
        <xdr:cNvGrpSpPr>
          <a:grpSpLocks noChangeAspect="1"/>
        </xdr:cNvGrpSpPr>
      </xdr:nvGrpSpPr>
      <xdr:grpSpPr>
        <a:xfrm>
          <a:off x="6678088" y="21166"/>
          <a:ext cx="1885376" cy="963081"/>
          <a:chOff x="6678088" y="21166"/>
          <a:chExt cx="1885376" cy="963081"/>
        </a:xfrm>
      </xdr:grpSpPr>
      <xdr:sp macro="INF" textlink="">
        <xdr:nvSpPr>
          <xdr:cNvPr id="9" name="Pestaña INF">
            <a:extLst>
              <a:ext uri="{FF2B5EF4-FFF2-40B4-BE49-F238E27FC236}">
                <a16:creationId xmlns:a16="http://schemas.microsoft.com/office/drawing/2014/main" id="{00000000-0008-0000-0600-000009000000}"/>
              </a:ext>
            </a:extLst>
          </xdr:cNvPr>
          <xdr:cNvSpPr/>
        </xdr:nvSpPr>
        <xdr:spPr>
          <a:xfrm flipH="1">
            <a:off x="6678088"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rgbClr val="2B2B62"/>
          </a:solidFill>
          <a:ln w="25400" cap="flat" cmpd="sng" algn="ctr">
            <a:solidFill>
              <a:schemeClr val="bg1">
                <a:lumMod val="100000"/>
              </a:schemeClr>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INF" textlink="">
        <xdr:nvSpPr>
          <xdr:cNvPr id="15" name="Texto INF">
            <a:extLst>
              <a:ext uri="{FF2B5EF4-FFF2-40B4-BE49-F238E27FC236}">
                <a16:creationId xmlns:a16="http://schemas.microsoft.com/office/drawing/2014/main" id="{00000000-0008-0000-0600-00000F000000}"/>
              </a:ext>
            </a:extLst>
          </xdr:cNvPr>
          <xdr:cNvSpPr txBox="1"/>
        </xdr:nvSpPr>
        <xdr:spPr>
          <a:xfrm>
            <a:off x="6808693"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lumMod val="100000"/>
                  </a:schemeClr>
                </a:solidFill>
                <a:effectLst/>
                <a:latin typeface="PT Sans Narrow" panose="020B0506020203020204" pitchFamily="34" charset="0"/>
                <a:ea typeface="+mn-ea"/>
                <a:cs typeface="+mn-cs"/>
              </a:rPr>
              <a:t> INFILTRACIÓN</a:t>
            </a:r>
            <a:endParaRPr lang="es-CO" sz="1400" b="1">
              <a:solidFill>
                <a:schemeClr val="bg1">
                  <a:lumMod val="100000"/>
                </a:schemeClr>
              </a:solidFill>
              <a:latin typeface="PT Sans Narrow" panose="020B0506020203020204" pitchFamily="34" charset="0"/>
            </a:endParaRPr>
          </a:p>
        </xdr:txBody>
      </xdr:sp>
    </xdr:grpSp>
    <xdr:clientData/>
  </xdr:twoCellAnchor>
  <xdr:twoCellAnchor editAs="absolute">
    <xdr:from>
      <xdr:col>6</xdr:col>
      <xdr:colOff>613834</xdr:colOff>
      <xdr:row>0</xdr:row>
      <xdr:rowOff>21166</xdr:rowOff>
    </xdr:from>
    <xdr:to>
      <xdr:col>9</xdr:col>
      <xdr:colOff>213210</xdr:colOff>
      <xdr:row>5</xdr:row>
      <xdr:rowOff>31747</xdr:rowOff>
    </xdr:to>
    <xdr:grpSp>
      <xdr:nvGrpSpPr>
        <xdr:cNvPr id="24" name="TDV">
          <a:extLst>
            <a:ext uri="{FF2B5EF4-FFF2-40B4-BE49-F238E27FC236}">
              <a16:creationId xmlns:a16="http://schemas.microsoft.com/office/drawing/2014/main" id="{00000000-0008-0000-0600-000018000000}"/>
            </a:ext>
          </a:extLst>
        </xdr:cNvPr>
        <xdr:cNvGrpSpPr>
          <a:grpSpLocks noChangeAspect="1"/>
        </xdr:cNvGrpSpPr>
      </xdr:nvGrpSpPr>
      <xdr:grpSpPr>
        <a:xfrm>
          <a:off x="5185834" y="21166"/>
          <a:ext cx="1885376" cy="963081"/>
          <a:chOff x="5185834" y="21166"/>
          <a:chExt cx="1885376" cy="963081"/>
        </a:xfrm>
      </xdr:grpSpPr>
      <xdr:sp macro="" textlink="">
        <xdr:nvSpPr>
          <xdr:cNvPr id="10" name="Pestaña TDV">
            <a:extLst>
              <a:ext uri="{FF2B5EF4-FFF2-40B4-BE49-F238E27FC236}">
                <a16:creationId xmlns:a16="http://schemas.microsoft.com/office/drawing/2014/main" id="{00000000-0008-0000-0600-00000A000000}"/>
              </a:ext>
            </a:extLst>
          </xdr:cNvPr>
          <xdr:cNvSpPr/>
        </xdr:nvSpPr>
        <xdr:spPr>
          <a:xfrm flipH="1">
            <a:off x="5185834"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4" name="Texto TDV">
            <a:extLst>
              <a:ext uri="{FF2B5EF4-FFF2-40B4-BE49-F238E27FC236}">
                <a16:creationId xmlns:a16="http://schemas.microsoft.com/office/drawing/2014/main" id="{00000000-0008-0000-0600-00000E000000}"/>
              </a:ext>
            </a:extLst>
          </xdr:cNvPr>
          <xdr:cNvSpPr txBox="1"/>
        </xdr:nvSpPr>
        <xdr:spPr>
          <a:xfrm>
            <a:off x="5311589" y="106456"/>
            <a:ext cx="1568823" cy="818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rgbClr val="00B050"/>
                </a:solidFill>
                <a:effectLst/>
                <a:latin typeface="PT Sans Narrow" panose="020B0506020203020204" pitchFamily="34" charset="0"/>
                <a:ea typeface="+mn-ea"/>
                <a:cs typeface="+mn-cs"/>
              </a:rPr>
              <a:t>TIEMPO</a:t>
            </a:r>
            <a:endParaRPr lang="es-CO" sz="1400" b="1" i="0" baseline="0">
              <a:solidFill>
                <a:srgbClr val="00B050"/>
              </a:solidFill>
              <a:effectLst/>
              <a:latin typeface="PT Sans Narrow" panose="020B0506020203020204" pitchFamily="34" charset="0"/>
              <a:ea typeface="+mn-ea"/>
              <a:cs typeface="+mn-cs"/>
            </a:endParaRPr>
          </a:p>
          <a:p>
            <a:pPr algn="ctr"/>
            <a:r>
              <a:rPr lang="es-CO" sz="1400" b="1" i="0" baseline="0">
                <a:solidFill>
                  <a:srgbClr val="00B050"/>
                </a:solidFill>
                <a:effectLst/>
                <a:latin typeface="PT Sans Narrow" panose="020B0506020203020204" pitchFamily="34" charset="0"/>
                <a:ea typeface="+mn-ea"/>
                <a:cs typeface="+mn-cs"/>
              </a:rPr>
              <a:t>DE</a:t>
            </a:r>
          </a:p>
          <a:p>
            <a:pPr algn="ctr"/>
            <a:r>
              <a:rPr lang="es-CO" sz="1400" b="1" i="0" baseline="0">
                <a:solidFill>
                  <a:srgbClr val="00B050"/>
                </a:solidFill>
                <a:effectLst/>
                <a:latin typeface="PT Sans Narrow" panose="020B0506020203020204" pitchFamily="34" charset="0"/>
                <a:ea typeface="+mn-ea"/>
                <a:cs typeface="+mn-cs"/>
              </a:rPr>
              <a:t>VACIADO</a:t>
            </a:r>
            <a:endParaRPr lang="es-CO" sz="1400" b="1">
              <a:solidFill>
                <a:srgbClr val="00B050"/>
              </a:solidFill>
              <a:latin typeface="PT Sans Narrow" panose="020B0506020203020204" pitchFamily="34" charset="0"/>
            </a:endParaRPr>
          </a:p>
        </xdr:txBody>
      </xdr:sp>
    </xdr:grpSp>
    <xdr:clientData/>
  </xdr:twoCellAnchor>
  <xdr:twoCellAnchor editAs="absolute">
    <xdr:from>
      <xdr:col>4</xdr:col>
      <xdr:colOff>716553</xdr:colOff>
      <xdr:row>0</xdr:row>
      <xdr:rowOff>21167</xdr:rowOff>
    </xdr:from>
    <xdr:to>
      <xdr:col>7</xdr:col>
      <xdr:colOff>296332</xdr:colOff>
      <xdr:row>5</xdr:row>
      <xdr:rowOff>44825</xdr:rowOff>
    </xdr:to>
    <xdr:grpSp>
      <xdr:nvGrpSpPr>
        <xdr:cNvPr id="38" name="D">
          <a:extLst>
            <a:ext uri="{FF2B5EF4-FFF2-40B4-BE49-F238E27FC236}">
              <a16:creationId xmlns:a16="http://schemas.microsoft.com/office/drawing/2014/main" id="{00000000-0008-0000-0600-000026000000}"/>
            </a:ext>
          </a:extLst>
        </xdr:cNvPr>
        <xdr:cNvGrpSpPr>
          <a:grpSpLocks noChangeAspect="1"/>
        </xdr:cNvGrpSpPr>
      </xdr:nvGrpSpPr>
      <xdr:grpSpPr>
        <a:xfrm>
          <a:off x="3764553" y="21167"/>
          <a:ext cx="1865779" cy="976158"/>
          <a:chOff x="3753970" y="21167"/>
          <a:chExt cx="1865779" cy="976158"/>
        </a:xfrm>
      </xdr:grpSpPr>
      <xdr:sp macro="[0]!D" textlink="">
        <xdr:nvSpPr>
          <xdr:cNvPr id="11" name="Pestaña D">
            <a:extLst>
              <a:ext uri="{FF2B5EF4-FFF2-40B4-BE49-F238E27FC236}">
                <a16:creationId xmlns:a16="http://schemas.microsoft.com/office/drawing/2014/main" id="{00000000-0008-0000-0600-00000B000000}"/>
              </a:ext>
            </a:extLst>
          </xdr:cNvPr>
          <xdr:cNvSpPr/>
        </xdr:nvSpPr>
        <xdr:spPr>
          <a:xfrm>
            <a:off x="3810000" y="21167"/>
            <a:ext cx="1809749" cy="976158"/>
          </a:xfrm>
          <a:custGeom>
            <a:avLst/>
            <a:gdLst>
              <a:gd name="connsiteX0" fmla="*/ 289766 w 1739654"/>
              <a:gd name="connsiteY0" fmla="*/ 0 h 857912"/>
              <a:gd name="connsiteX1" fmla="*/ 1153172 w 1739654"/>
              <a:gd name="connsiteY1" fmla="*/ 0 h 857912"/>
              <a:gd name="connsiteX2" fmla="*/ 1171726 w 1739654"/>
              <a:gd name="connsiteY2" fmla="*/ 1871 h 857912"/>
              <a:gd name="connsiteX3" fmla="*/ 1448928 w 1739654"/>
              <a:gd name="connsiteY3" fmla="*/ 279073 h 857912"/>
              <a:gd name="connsiteX4" fmla="*/ 1449888 w 1739654"/>
              <a:gd name="connsiteY4" fmla="*/ 288599 h 857912"/>
              <a:gd name="connsiteX5" fmla="*/ 1449888 w 1739654"/>
              <a:gd name="connsiteY5" fmla="*/ 568146 h 857912"/>
              <a:gd name="connsiteX6" fmla="*/ 1739654 w 1739654"/>
              <a:gd name="connsiteY6" fmla="*/ 857912 h 857912"/>
              <a:gd name="connsiteX7" fmla="*/ 352308 w 1739654"/>
              <a:gd name="connsiteY7" fmla="*/ 857912 h 857912"/>
              <a:gd name="connsiteX8" fmla="*/ 0 w 1739654"/>
              <a:gd name="connsiteY8" fmla="*/ 857912 h 857912"/>
              <a:gd name="connsiteX9" fmla="*/ 0 w 1739654"/>
              <a:gd name="connsiteY9" fmla="*/ 289766 h 857912"/>
              <a:gd name="connsiteX10" fmla="*/ 289766 w 1739654"/>
              <a:gd name="connsiteY10" fmla="*/ 0 h 857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39654" h="857912">
                <a:moveTo>
                  <a:pt x="289766" y="0"/>
                </a:moveTo>
                <a:lnTo>
                  <a:pt x="1153172" y="0"/>
                </a:lnTo>
                <a:lnTo>
                  <a:pt x="1171726" y="1871"/>
                </a:lnTo>
                <a:cubicBezTo>
                  <a:pt x="1310865" y="30343"/>
                  <a:pt x="1420456" y="139933"/>
                  <a:pt x="1448928" y="279073"/>
                </a:cubicBezTo>
                <a:lnTo>
                  <a:pt x="1449888" y="288599"/>
                </a:lnTo>
                <a:lnTo>
                  <a:pt x="1449888" y="568146"/>
                </a:lnTo>
                <a:cubicBezTo>
                  <a:pt x="1449888" y="728179"/>
                  <a:pt x="1579621" y="857912"/>
                  <a:pt x="1739654" y="857912"/>
                </a:cubicBezTo>
                <a:lnTo>
                  <a:pt x="352308" y="857912"/>
                </a:lnTo>
                <a:lnTo>
                  <a:pt x="0" y="857912"/>
                </a:lnTo>
                <a:lnTo>
                  <a:pt x="0" y="289766"/>
                </a:lnTo>
                <a:cubicBezTo>
                  <a:pt x="0" y="129733"/>
                  <a:pt x="129733" y="0"/>
                  <a:pt x="289766" y="0"/>
                </a:cubicBezTo>
                <a:close/>
              </a:path>
            </a:pathLst>
          </a:cu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0]!D" textlink="">
        <xdr:nvSpPr>
          <xdr:cNvPr id="13" name="Texto D">
            <a:extLst>
              <a:ext uri="{FF2B5EF4-FFF2-40B4-BE49-F238E27FC236}">
                <a16:creationId xmlns:a16="http://schemas.microsoft.com/office/drawing/2014/main" id="{00000000-0008-0000-0600-00000D000000}"/>
              </a:ext>
            </a:extLst>
          </xdr:cNvPr>
          <xdr:cNvSpPr txBox="1"/>
        </xdr:nvSpPr>
        <xdr:spPr>
          <a:xfrm>
            <a:off x="3753970"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solidFill>
                <a:effectLst/>
                <a:latin typeface="PT Sans Narrow" panose="020B0506020203020204" pitchFamily="34" charset="0"/>
                <a:ea typeface="+mn-ea"/>
                <a:cs typeface="+mn-cs"/>
              </a:rPr>
              <a:t>DIMENSIONAMIENTO</a:t>
            </a:r>
            <a:endParaRPr lang="es-CO" sz="1400" b="1">
              <a:solidFill>
                <a:schemeClr val="bg1"/>
              </a:solidFill>
              <a:latin typeface="PT Sans Narrow" panose="020B0506020203020204" pitchFamily="34" charset="0"/>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4</xdr:col>
      <xdr:colOff>750794</xdr:colOff>
      <xdr:row>107</xdr:row>
      <xdr:rowOff>5589</xdr:rowOff>
    </xdr:from>
    <xdr:to>
      <xdr:col>15</xdr:col>
      <xdr:colOff>11206</xdr:colOff>
      <xdr:row>108</xdr:row>
      <xdr:rowOff>178594</xdr:rowOff>
    </xdr:to>
    <xdr:sp macro="" textlink="">
      <xdr:nvSpPr>
        <xdr:cNvPr id="8" name="Forma libre: forma 7">
          <a:extLst>
            <a:ext uri="{FF2B5EF4-FFF2-40B4-BE49-F238E27FC236}">
              <a16:creationId xmlns:a16="http://schemas.microsoft.com/office/drawing/2014/main" id="{00000000-0008-0000-0700-000008000000}"/>
            </a:ext>
          </a:extLst>
        </xdr:cNvPr>
        <xdr:cNvSpPr>
          <a:spLocks noChangeAspect="1"/>
        </xdr:cNvSpPr>
      </xdr:nvSpPr>
      <xdr:spPr>
        <a:xfrm>
          <a:off x="3798794" y="20389089"/>
          <a:ext cx="7642412" cy="363505"/>
        </a:xfrm>
        <a:custGeom>
          <a:avLst/>
          <a:gdLst>
            <a:gd name="connsiteX0" fmla="*/ 0 w 6890994"/>
            <a:gd name="connsiteY0" fmla="*/ 0 h 363505"/>
            <a:gd name="connsiteX1" fmla="*/ 6890994 w 6890994"/>
            <a:gd name="connsiteY1" fmla="*/ 0 h 363505"/>
            <a:gd name="connsiteX2" fmla="*/ 6890994 w 6890994"/>
            <a:gd name="connsiteY2" fmla="*/ 73702 h 363505"/>
            <a:gd name="connsiteX3" fmla="*/ 6601228 w 6890994"/>
            <a:gd name="connsiteY3" fmla="*/ 363505 h 363505"/>
            <a:gd name="connsiteX4" fmla="*/ 289766 w 6890994"/>
            <a:gd name="connsiteY4" fmla="*/ 363505 h 363505"/>
            <a:gd name="connsiteX5" fmla="*/ 0 w 6890994"/>
            <a:gd name="connsiteY5" fmla="*/ 73702 h 3635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890994" h="363505">
              <a:moveTo>
                <a:pt x="0" y="0"/>
              </a:moveTo>
              <a:lnTo>
                <a:pt x="6890994" y="0"/>
              </a:lnTo>
              <a:lnTo>
                <a:pt x="6890994" y="73702"/>
              </a:lnTo>
              <a:cubicBezTo>
                <a:pt x="6890994" y="233755"/>
                <a:pt x="6761261" y="363505"/>
                <a:pt x="6601228" y="363505"/>
              </a:cubicBezTo>
              <a:lnTo>
                <a:pt x="289766" y="363505"/>
              </a:lnTo>
              <a:cubicBezTo>
                <a:pt x="129733" y="363505"/>
                <a:pt x="0" y="233755"/>
                <a:pt x="0" y="73702"/>
              </a:cubicBezTo>
              <a:close/>
            </a:path>
          </a:pathLst>
        </a:cu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clientData/>
  </xdr:twoCellAnchor>
  <xdr:twoCellAnchor editAs="absolute">
    <xdr:from>
      <xdr:col>15</xdr:col>
      <xdr:colOff>681067</xdr:colOff>
      <xdr:row>104</xdr:row>
      <xdr:rowOff>87502</xdr:rowOff>
    </xdr:from>
    <xdr:to>
      <xdr:col>17</xdr:col>
      <xdr:colOff>858119</xdr:colOff>
      <xdr:row>108</xdr:row>
      <xdr:rowOff>119064</xdr:rowOff>
    </xdr:to>
    <xdr:pic>
      <xdr:nvPicPr>
        <xdr:cNvPr id="2" name="Orbia Logo" descr="Pavc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1067" y="19899502"/>
          <a:ext cx="1701052" cy="793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148172</xdr:colOff>
      <xdr:row>105</xdr:row>
      <xdr:rowOff>168018</xdr:rowOff>
    </xdr:from>
    <xdr:to>
      <xdr:col>2</xdr:col>
      <xdr:colOff>499732</xdr:colOff>
      <xdr:row>107</xdr:row>
      <xdr:rowOff>137493</xdr:rowOff>
    </xdr:to>
    <xdr:pic>
      <xdr:nvPicPr>
        <xdr:cNvPr id="4" name="LinkedIn">
          <a:hlinkClick xmlns:r="http://schemas.openxmlformats.org/officeDocument/2006/relationships" r:id="rId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72172" y="20170518"/>
          <a:ext cx="351560" cy="350475"/>
        </a:xfrm>
        <a:prstGeom prst="rect">
          <a:avLst/>
        </a:prstGeom>
      </xdr:spPr>
    </xdr:pic>
    <xdr:clientData/>
  </xdr:twoCellAnchor>
  <xdr:twoCellAnchor editAs="absolute">
    <xdr:from>
      <xdr:col>1</xdr:col>
      <xdr:colOff>253104</xdr:colOff>
      <xdr:row>106</xdr:row>
      <xdr:rowOff>51599</xdr:rowOff>
    </xdr:from>
    <xdr:to>
      <xdr:col>1</xdr:col>
      <xdr:colOff>658474</xdr:colOff>
      <xdr:row>107</xdr:row>
      <xdr:rowOff>166692</xdr:rowOff>
    </xdr:to>
    <xdr:pic>
      <xdr:nvPicPr>
        <xdr:cNvPr id="6" name="YouTube">
          <a:hlinkClick xmlns:r="http://schemas.openxmlformats.org/officeDocument/2006/relationships" r:id="rId4"/>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15104" y="20244599"/>
          <a:ext cx="405370" cy="305593"/>
        </a:xfrm>
        <a:prstGeom prst="rect">
          <a:avLst/>
        </a:prstGeom>
      </xdr:spPr>
    </xdr:pic>
    <xdr:clientData/>
  </xdr:twoCellAnchor>
  <xdr:twoCellAnchor editAs="absolute">
    <xdr:from>
      <xdr:col>0</xdr:col>
      <xdr:colOff>412754</xdr:colOff>
      <xdr:row>105</xdr:row>
      <xdr:rowOff>168018</xdr:rowOff>
    </xdr:from>
    <xdr:to>
      <xdr:col>1</xdr:col>
      <xdr:colOff>1405</xdr:colOff>
      <xdr:row>107</xdr:row>
      <xdr:rowOff>137493</xdr:rowOff>
    </xdr:to>
    <xdr:pic>
      <xdr:nvPicPr>
        <xdr:cNvPr id="5" name="Facebook">
          <a:hlinkClick xmlns:r="http://schemas.openxmlformats.org/officeDocument/2006/relationships" r:id="rId6"/>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2754" y="20170518"/>
          <a:ext cx="350651" cy="350475"/>
        </a:xfrm>
        <a:prstGeom prst="rect">
          <a:avLst/>
        </a:prstGeom>
      </xdr:spPr>
    </xdr:pic>
    <xdr:clientData/>
  </xdr:twoCellAnchor>
  <xdr:twoCellAnchor editAs="absolute">
    <xdr:from>
      <xdr:col>0</xdr:col>
      <xdr:colOff>0</xdr:colOff>
      <xdr:row>85</xdr:row>
      <xdr:rowOff>92608</xdr:rowOff>
    </xdr:from>
    <xdr:to>
      <xdr:col>4</xdr:col>
      <xdr:colOff>285750</xdr:colOff>
      <xdr:row>105</xdr:row>
      <xdr:rowOff>177808</xdr:rowOff>
    </xdr:to>
    <xdr:sp macro="" textlink="">
      <xdr:nvSpPr>
        <xdr:cNvPr id="3" name="Info Pavco">
          <a:extLst>
            <a:ext uri="{FF2B5EF4-FFF2-40B4-BE49-F238E27FC236}">
              <a16:creationId xmlns:a16="http://schemas.microsoft.com/office/drawing/2014/main" id="{00000000-0008-0000-0700-000003000000}"/>
            </a:ext>
          </a:extLst>
        </xdr:cNvPr>
        <xdr:cNvSpPr txBox="1">
          <a:spLocks noChangeAspect="1"/>
        </xdr:cNvSpPr>
      </xdr:nvSpPr>
      <xdr:spPr>
        <a:xfrm>
          <a:off x="0" y="16285108"/>
          <a:ext cx="3333750" cy="389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i="0">
              <a:solidFill>
                <a:schemeClr val="bg1"/>
              </a:solidFill>
              <a:effectLst/>
              <a:latin typeface="PT Sans Narrow" panose="020B0506020203020204" pitchFamily="34" charset="0"/>
              <a:ea typeface="+mn-ea"/>
              <a:cs typeface="+mn-cs"/>
            </a:rPr>
            <a:t>Bogotá: Autopista Sur # 71-75.</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(601) 782 5000 Ext.:1101 Fax: +57 (601) 782 5020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Cali: Calle 64 Norte 5BN 46. Oficina R01, Centro Empresa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(602) 829 8969 EXT 2809</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Bucaramanga: Calle 30 # 22-129 Oficina 1802, Floridablanca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+57 314 330 2331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Barranquilla: Conmutador: +57 (605) 375 8100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0041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Itagüí - Antioquia: Calle 27 # 41-80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(604) 325 6660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Eje Cafetero: Carrera 17 # 5-58 Oficina 304 , Pereira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0025</a:t>
          </a:r>
          <a:endParaRPr lang="es-CO" sz="1200" b="1">
            <a:solidFill>
              <a:schemeClr val="bg1"/>
            </a:solidFill>
            <a:latin typeface="PT Sans Narrow" panose="020B0506020203020204" pitchFamily="34" charset="0"/>
          </a:endParaRPr>
        </a:p>
      </xdr:txBody>
    </xdr:sp>
    <xdr:clientData/>
  </xdr:twoCellAnchor>
  <xdr:twoCellAnchor editAs="absolute">
    <xdr:from>
      <xdr:col>3</xdr:col>
      <xdr:colOff>455082</xdr:colOff>
      <xdr:row>82</xdr:row>
      <xdr:rowOff>96575</xdr:rowOff>
    </xdr:from>
    <xdr:to>
      <xdr:col>11</xdr:col>
      <xdr:colOff>21165</xdr:colOff>
      <xdr:row>84</xdr:row>
      <xdr:rowOff>98692</xdr:rowOff>
    </xdr:to>
    <xdr:grpSp>
      <xdr:nvGrpSpPr>
        <xdr:cNvPr id="26" name="Ley de Darcy NF no conocido">
          <a:extLst>
            <a:ext uri="{FF2B5EF4-FFF2-40B4-BE49-F238E27FC236}">
              <a16:creationId xmlns:a16="http://schemas.microsoft.com/office/drawing/2014/main" id="{00000000-0008-0000-0700-00001A000000}"/>
            </a:ext>
          </a:extLst>
        </xdr:cNvPr>
        <xdr:cNvGrpSpPr>
          <a:grpSpLocks noChangeAspect="1"/>
        </xdr:cNvGrpSpPr>
      </xdr:nvGrpSpPr>
      <xdr:grpSpPr>
        <a:xfrm>
          <a:off x="2741082" y="15717575"/>
          <a:ext cx="5662083" cy="383117"/>
          <a:chOff x="3767668" y="14319250"/>
          <a:chExt cx="5662083" cy="383117"/>
        </a:xfrm>
      </xdr:grpSpPr>
      <xdr:sp macro="" textlink="">
        <xdr:nvSpPr>
          <xdr:cNvPr id="27" name="Rectángulo: esquinas diagonales cortadas 26">
            <a:extLst>
              <a:ext uri="{FF2B5EF4-FFF2-40B4-BE49-F238E27FC236}">
                <a16:creationId xmlns:a16="http://schemas.microsoft.com/office/drawing/2014/main" id="{00000000-0008-0000-0700-00001B000000}"/>
              </a:ext>
            </a:extLst>
          </xdr:cNvPr>
          <xdr:cNvSpPr/>
        </xdr:nvSpPr>
        <xdr:spPr>
          <a:xfrm flipV="1">
            <a:off x="4011081" y="14319250"/>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8" name="CuadroTexto 27">
            <a:extLst>
              <a:ext uri="{FF2B5EF4-FFF2-40B4-BE49-F238E27FC236}">
                <a16:creationId xmlns:a16="http://schemas.microsoft.com/office/drawing/2014/main" id="{00000000-0008-0000-0700-00001C000000}"/>
              </a:ext>
            </a:extLst>
          </xdr:cNvPr>
          <xdr:cNvSpPr txBox="1"/>
        </xdr:nvSpPr>
        <xdr:spPr>
          <a:xfrm>
            <a:off x="3767668" y="14353304"/>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LEY DE DARCY EN CASO DE NO</a:t>
            </a:r>
            <a:r>
              <a:rPr lang="es-CO" sz="1400" b="1" baseline="0">
                <a:solidFill>
                  <a:schemeClr val="bg1"/>
                </a:solidFill>
                <a:latin typeface="PT Sans Narrow" panose="020B0506020203020204" pitchFamily="34" charset="0"/>
              </a:rPr>
              <a:t> TENER NIVEL FREÁTICO CONOCIDO</a:t>
            </a:r>
            <a:endParaRPr lang="es-CO" sz="1400" b="1">
              <a:solidFill>
                <a:schemeClr val="bg1"/>
              </a:solidFill>
              <a:latin typeface="PT Sans Narrow" panose="020B0506020203020204" pitchFamily="34" charset="0"/>
            </a:endParaRPr>
          </a:p>
        </xdr:txBody>
      </xdr:sp>
    </xdr:grpSp>
    <xdr:clientData/>
  </xdr:twoCellAnchor>
  <xdr:twoCellAnchor editAs="absolute">
    <xdr:from>
      <xdr:col>3</xdr:col>
      <xdr:colOff>433919</xdr:colOff>
      <xdr:row>59</xdr:row>
      <xdr:rowOff>104511</xdr:rowOff>
    </xdr:from>
    <xdr:to>
      <xdr:col>11</xdr:col>
      <xdr:colOff>2</xdr:colOff>
      <xdr:row>61</xdr:row>
      <xdr:rowOff>106628</xdr:rowOff>
    </xdr:to>
    <xdr:grpSp>
      <xdr:nvGrpSpPr>
        <xdr:cNvPr id="23" name="Ley de Darcy NF conocido">
          <a:extLst>
            <a:ext uri="{FF2B5EF4-FFF2-40B4-BE49-F238E27FC236}">
              <a16:creationId xmlns:a16="http://schemas.microsoft.com/office/drawing/2014/main" id="{00000000-0008-0000-0700-000017000000}"/>
            </a:ext>
          </a:extLst>
        </xdr:cNvPr>
        <xdr:cNvGrpSpPr>
          <a:grpSpLocks noChangeAspect="1"/>
        </xdr:cNvGrpSpPr>
      </xdr:nvGrpSpPr>
      <xdr:grpSpPr>
        <a:xfrm>
          <a:off x="2719919" y="11344011"/>
          <a:ext cx="5662083" cy="383117"/>
          <a:chOff x="3810000" y="14319250"/>
          <a:chExt cx="5662083" cy="383117"/>
        </a:xfrm>
      </xdr:grpSpPr>
      <xdr:sp macro="" textlink="">
        <xdr:nvSpPr>
          <xdr:cNvPr id="24" name="Rectángulo: esquinas diagonales cortadas 23">
            <a:extLst>
              <a:ext uri="{FF2B5EF4-FFF2-40B4-BE49-F238E27FC236}">
                <a16:creationId xmlns:a16="http://schemas.microsoft.com/office/drawing/2014/main" id="{00000000-0008-0000-0700-000018000000}"/>
              </a:ext>
            </a:extLst>
          </xdr:cNvPr>
          <xdr:cNvSpPr/>
        </xdr:nvSpPr>
        <xdr:spPr>
          <a:xfrm flipV="1">
            <a:off x="4011081" y="14319250"/>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CuadroTexto 24">
            <a:extLst>
              <a:ext uri="{FF2B5EF4-FFF2-40B4-BE49-F238E27FC236}">
                <a16:creationId xmlns:a16="http://schemas.microsoft.com/office/drawing/2014/main" id="{00000000-0008-0000-0700-000019000000}"/>
              </a:ext>
            </a:extLst>
          </xdr:cNvPr>
          <xdr:cNvSpPr txBox="1"/>
        </xdr:nvSpPr>
        <xdr:spPr>
          <a:xfrm>
            <a:off x="3810000" y="14353304"/>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LEY DE DARCY EN CASO DE EXISTIR NIVEL FREÁTICO CONOCIDO</a:t>
            </a:r>
          </a:p>
        </xdr:txBody>
      </xdr:sp>
    </xdr:grpSp>
    <xdr:clientData/>
  </xdr:twoCellAnchor>
  <xdr:twoCellAnchor editAs="absolute">
    <xdr:from>
      <xdr:col>3</xdr:col>
      <xdr:colOff>395819</xdr:colOff>
      <xdr:row>46</xdr:row>
      <xdr:rowOff>99483</xdr:rowOff>
    </xdr:from>
    <xdr:to>
      <xdr:col>10</xdr:col>
      <xdr:colOff>723902</xdr:colOff>
      <xdr:row>48</xdr:row>
      <xdr:rowOff>101600</xdr:rowOff>
    </xdr:to>
    <xdr:grpSp>
      <xdr:nvGrpSpPr>
        <xdr:cNvPr id="53" name="Ley de Darcy">
          <a:extLst>
            <a:ext uri="{FF2B5EF4-FFF2-40B4-BE49-F238E27FC236}">
              <a16:creationId xmlns:a16="http://schemas.microsoft.com/office/drawing/2014/main" id="{00000000-0008-0000-0700-000035000000}"/>
            </a:ext>
          </a:extLst>
        </xdr:cNvPr>
        <xdr:cNvGrpSpPr>
          <a:grpSpLocks noChangeAspect="1"/>
        </xdr:cNvGrpSpPr>
      </xdr:nvGrpSpPr>
      <xdr:grpSpPr>
        <a:xfrm>
          <a:off x="2681819" y="8862483"/>
          <a:ext cx="5662083" cy="383117"/>
          <a:chOff x="2730500" y="3196169"/>
          <a:chExt cx="5662083" cy="383117"/>
        </a:xfrm>
      </xdr:grpSpPr>
      <xdr:sp macro="" textlink="">
        <xdr:nvSpPr>
          <xdr:cNvPr id="54" name="Rectángulo: esquinas diagonales cortadas 53">
            <a:extLst>
              <a:ext uri="{FF2B5EF4-FFF2-40B4-BE49-F238E27FC236}">
                <a16:creationId xmlns:a16="http://schemas.microsoft.com/office/drawing/2014/main" id="{00000000-0008-0000-0700-000036000000}"/>
              </a:ext>
            </a:extLst>
          </xdr:cNvPr>
          <xdr:cNvSpPr/>
        </xdr:nvSpPr>
        <xdr:spPr>
          <a:xfrm flipV="1">
            <a:off x="2931581" y="3196169"/>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5" name="CuadroTexto 54">
            <a:extLst>
              <a:ext uri="{FF2B5EF4-FFF2-40B4-BE49-F238E27FC236}">
                <a16:creationId xmlns:a16="http://schemas.microsoft.com/office/drawing/2014/main" id="{00000000-0008-0000-0700-000037000000}"/>
              </a:ext>
            </a:extLst>
          </xdr:cNvPr>
          <xdr:cNvSpPr txBox="1"/>
        </xdr:nvSpPr>
        <xdr:spPr>
          <a:xfrm>
            <a:off x="2730500" y="3230223"/>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LEY DE DARCY</a:t>
            </a:r>
            <a:endParaRPr lang="es-CO" sz="1400" b="1" i="1">
              <a:solidFill>
                <a:schemeClr val="bg1"/>
              </a:solidFill>
              <a:latin typeface="PT Sans Narrow" panose="020B0506020203020204" pitchFamily="34" charset="0"/>
            </a:endParaRPr>
          </a:p>
        </xdr:txBody>
      </xdr:sp>
    </xdr:grpSp>
    <xdr:clientData/>
  </xdr:twoCellAnchor>
  <xdr:twoCellAnchor editAs="absolute">
    <xdr:from>
      <xdr:col>3</xdr:col>
      <xdr:colOff>433919</xdr:colOff>
      <xdr:row>31</xdr:row>
      <xdr:rowOff>105833</xdr:rowOff>
    </xdr:from>
    <xdr:to>
      <xdr:col>11</xdr:col>
      <xdr:colOff>2</xdr:colOff>
      <xdr:row>33</xdr:row>
      <xdr:rowOff>107950</xdr:rowOff>
    </xdr:to>
    <xdr:grpSp>
      <xdr:nvGrpSpPr>
        <xdr:cNvPr id="49" name="Calculo Hmax">
          <a:extLst>
            <a:ext uri="{FF2B5EF4-FFF2-40B4-BE49-F238E27FC236}">
              <a16:creationId xmlns:a16="http://schemas.microsoft.com/office/drawing/2014/main" id="{00000000-0008-0000-0700-000031000000}"/>
            </a:ext>
          </a:extLst>
        </xdr:cNvPr>
        <xdr:cNvGrpSpPr>
          <a:grpSpLocks noChangeAspect="1"/>
        </xdr:cNvGrpSpPr>
      </xdr:nvGrpSpPr>
      <xdr:grpSpPr>
        <a:xfrm>
          <a:off x="2719919" y="6011333"/>
          <a:ext cx="5662083" cy="383117"/>
          <a:chOff x="2730500" y="3196169"/>
          <a:chExt cx="5662083" cy="383117"/>
        </a:xfrm>
      </xdr:grpSpPr>
      <xdr:sp macro="" textlink="">
        <xdr:nvSpPr>
          <xdr:cNvPr id="50" name="Rectángulo: esquinas diagonales cortadas 49">
            <a:extLst>
              <a:ext uri="{FF2B5EF4-FFF2-40B4-BE49-F238E27FC236}">
                <a16:creationId xmlns:a16="http://schemas.microsoft.com/office/drawing/2014/main" id="{00000000-0008-0000-0700-000032000000}"/>
              </a:ext>
            </a:extLst>
          </xdr:cNvPr>
          <xdr:cNvSpPr/>
        </xdr:nvSpPr>
        <xdr:spPr>
          <a:xfrm flipV="1">
            <a:off x="2931581" y="3196169"/>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1" name="CuadroTexto 50">
            <a:extLst>
              <a:ext uri="{FF2B5EF4-FFF2-40B4-BE49-F238E27FC236}">
                <a16:creationId xmlns:a16="http://schemas.microsoft.com/office/drawing/2014/main" id="{00000000-0008-0000-0700-000033000000}"/>
              </a:ext>
            </a:extLst>
          </xdr:cNvPr>
          <xdr:cNvSpPr txBox="1"/>
        </xdr:nvSpPr>
        <xdr:spPr>
          <a:xfrm>
            <a:off x="2730500" y="3230223"/>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CÁLCULO DEL NIVEL MÁXIMO DE AGUA (</a:t>
            </a:r>
            <a:r>
              <a:rPr lang="es-CO" sz="1400" b="1" i="1">
                <a:solidFill>
                  <a:schemeClr val="bg1"/>
                </a:solidFill>
                <a:latin typeface="PT Sans Narrow" panose="020B0506020203020204" pitchFamily="34" charset="0"/>
              </a:rPr>
              <a:t>h</a:t>
            </a:r>
            <a:r>
              <a:rPr lang="es-CO" sz="1050" b="1" i="1">
                <a:solidFill>
                  <a:schemeClr val="bg1"/>
                </a:solidFill>
                <a:latin typeface="PT Sans Narrow" panose="020B0506020203020204" pitchFamily="34" charset="0"/>
              </a:rPr>
              <a:t>max</a:t>
            </a:r>
            <a:r>
              <a:rPr lang="es-CO" sz="1400" b="1" i="0">
                <a:solidFill>
                  <a:schemeClr val="bg1"/>
                </a:solidFill>
                <a:latin typeface="PT Sans Narrow" panose="020B0506020203020204" pitchFamily="34" charset="0"/>
              </a:rPr>
              <a:t>)</a:t>
            </a:r>
            <a:endParaRPr lang="es-CO" sz="1400" b="1" i="1">
              <a:solidFill>
                <a:schemeClr val="bg1"/>
              </a:solidFill>
              <a:latin typeface="PT Sans Narrow" panose="020B0506020203020204" pitchFamily="34" charset="0"/>
            </a:endParaRPr>
          </a:p>
        </xdr:txBody>
      </xdr:sp>
    </xdr:grpSp>
    <xdr:clientData/>
  </xdr:twoCellAnchor>
  <xdr:twoCellAnchor editAs="absolute">
    <xdr:from>
      <xdr:col>3</xdr:col>
      <xdr:colOff>433919</xdr:colOff>
      <xdr:row>25</xdr:row>
      <xdr:rowOff>96572</xdr:rowOff>
    </xdr:from>
    <xdr:to>
      <xdr:col>11</xdr:col>
      <xdr:colOff>2</xdr:colOff>
      <xdr:row>27</xdr:row>
      <xdr:rowOff>98689</xdr:rowOff>
    </xdr:to>
    <xdr:grpSp>
      <xdr:nvGrpSpPr>
        <xdr:cNvPr id="46" name="Caractersiticas Hidrologicas">
          <a:extLst>
            <a:ext uri="{FF2B5EF4-FFF2-40B4-BE49-F238E27FC236}">
              <a16:creationId xmlns:a16="http://schemas.microsoft.com/office/drawing/2014/main" id="{00000000-0008-0000-0700-00002E000000}"/>
            </a:ext>
          </a:extLst>
        </xdr:cNvPr>
        <xdr:cNvGrpSpPr>
          <a:grpSpLocks noChangeAspect="1"/>
        </xdr:cNvGrpSpPr>
      </xdr:nvGrpSpPr>
      <xdr:grpSpPr>
        <a:xfrm>
          <a:off x="2719919" y="4859072"/>
          <a:ext cx="5662083" cy="383117"/>
          <a:chOff x="2730500" y="3196169"/>
          <a:chExt cx="5662083" cy="383117"/>
        </a:xfrm>
      </xdr:grpSpPr>
      <xdr:sp macro="" textlink="">
        <xdr:nvSpPr>
          <xdr:cNvPr id="47" name="Rectángulo: esquinas diagonales cortadas 46">
            <a:extLst>
              <a:ext uri="{FF2B5EF4-FFF2-40B4-BE49-F238E27FC236}">
                <a16:creationId xmlns:a16="http://schemas.microsoft.com/office/drawing/2014/main" id="{00000000-0008-0000-0700-00002F000000}"/>
              </a:ext>
            </a:extLst>
          </xdr:cNvPr>
          <xdr:cNvSpPr/>
        </xdr:nvSpPr>
        <xdr:spPr>
          <a:xfrm flipV="1">
            <a:off x="2931581" y="3196169"/>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8" name="CuadroTexto 47">
            <a:extLst>
              <a:ext uri="{FF2B5EF4-FFF2-40B4-BE49-F238E27FC236}">
                <a16:creationId xmlns:a16="http://schemas.microsoft.com/office/drawing/2014/main" id="{00000000-0008-0000-0700-000030000000}"/>
              </a:ext>
            </a:extLst>
          </xdr:cNvPr>
          <xdr:cNvSpPr txBox="1"/>
        </xdr:nvSpPr>
        <xdr:spPr>
          <a:xfrm>
            <a:off x="2730500" y="3230223"/>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CARACTERÍSTICAS HIDROLÓGICAS</a:t>
            </a:r>
          </a:p>
        </xdr:txBody>
      </xdr:sp>
    </xdr:grpSp>
    <xdr:clientData/>
  </xdr:twoCellAnchor>
  <xdr:twoCellAnchor editAs="absolute">
    <xdr:from>
      <xdr:col>3</xdr:col>
      <xdr:colOff>433919</xdr:colOff>
      <xdr:row>17</xdr:row>
      <xdr:rowOff>104510</xdr:rowOff>
    </xdr:from>
    <xdr:to>
      <xdr:col>11</xdr:col>
      <xdr:colOff>2</xdr:colOff>
      <xdr:row>19</xdr:row>
      <xdr:rowOff>106627</xdr:rowOff>
    </xdr:to>
    <xdr:grpSp>
      <xdr:nvGrpSpPr>
        <xdr:cNvPr id="16" name="Caracteristicas Suelo Inf">
          <a:extLst>
            <a:ext uri="{FF2B5EF4-FFF2-40B4-BE49-F238E27FC236}">
              <a16:creationId xmlns:a16="http://schemas.microsoft.com/office/drawing/2014/main" id="{00000000-0008-0000-0700-000010000000}"/>
            </a:ext>
          </a:extLst>
        </xdr:cNvPr>
        <xdr:cNvGrpSpPr>
          <a:grpSpLocks noChangeAspect="1"/>
        </xdr:cNvGrpSpPr>
      </xdr:nvGrpSpPr>
      <xdr:grpSpPr>
        <a:xfrm>
          <a:off x="2719919" y="3343010"/>
          <a:ext cx="5662083" cy="383117"/>
          <a:chOff x="2730500" y="3196169"/>
          <a:chExt cx="5662083" cy="383117"/>
        </a:xfrm>
      </xdr:grpSpPr>
      <xdr:sp macro="" textlink="">
        <xdr:nvSpPr>
          <xdr:cNvPr id="17" name="Rectángulo: esquinas diagonales cortadas 16">
            <a:extLst>
              <a:ext uri="{FF2B5EF4-FFF2-40B4-BE49-F238E27FC236}">
                <a16:creationId xmlns:a16="http://schemas.microsoft.com/office/drawing/2014/main" id="{00000000-0008-0000-0700-000011000000}"/>
              </a:ext>
            </a:extLst>
          </xdr:cNvPr>
          <xdr:cNvSpPr/>
        </xdr:nvSpPr>
        <xdr:spPr>
          <a:xfrm flipV="1">
            <a:off x="2931581" y="3196169"/>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8" name="CuadroTexto 17">
            <a:extLst>
              <a:ext uri="{FF2B5EF4-FFF2-40B4-BE49-F238E27FC236}">
                <a16:creationId xmlns:a16="http://schemas.microsoft.com/office/drawing/2014/main" id="{00000000-0008-0000-0700-000012000000}"/>
              </a:ext>
            </a:extLst>
          </xdr:cNvPr>
          <xdr:cNvSpPr txBox="1"/>
        </xdr:nvSpPr>
        <xdr:spPr>
          <a:xfrm>
            <a:off x="2730500" y="3230223"/>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CARACTERÍSTICAS DEL SUELO DE INFILTRACIÓN</a:t>
            </a:r>
          </a:p>
        </xdr:txBody>
      </xdr:sp>
    </xdr:grpSp>
    <xdr:clientData/>
  </xdr:twoCellAnchor>
  <xdr:twoCellAnchor editAs="absolute">
    <xdr:from>
      <xdr:col>3</xdr:col>
      <xdr:colOff>433919</xdr:colOff>
      <xdr:row>5</xdr:row>
      <xdr:rowOff>127001</xdr:rowOff>
    </xdr:from>
    <xdr:to>
      <xdr:col>11</xdr:col>
      <xdr:colOff>2</xdr:colOff>
      <xdr:row>7</xdr:row>
      <xdr:rowOff>129118</xdr:rowOff>
    </xdr:to>
    <xdr:grpSp>
      <xdr:nvGrpSpPr>
        <xdr:cNvPr id="43" name="Dimensiones del Tanque">
          <a:extLst>
            <a:ext uri="{FF2B5EF4-FFF2-40B4-BE49-F238E27FC236}">
              <a16:creationId xmlns:a16="http://schemas.microsoft.com/office/drawing/2014/main" id="{00000000-0008-0000-0700-00002B000000}"/>
            </a:ext>
          </a:extLst>
        </xdr:cNvPr>
        <xdr:cNvGrpSpPr>
          <a:grpSpLocks noChangeAspect="1"/>
        </xdr:cNvGrpSpPr>
      </xdr:nvGrpSpPr>
      <xdr:grpSpPr>
        <a:xfrm>
          <a:off x="2719919" y="1079501"/>
          <a:ext cx="5662083" cy="383117"/>
          <a:chOff x="2730500" y="3196169"/>
          <a:chExt cx="5662083" cy="383117"/>
        </a:xfrm>
      </xdr:grpSpPr>
      <xdr:sp macro="" textlink="">
        <xdr:nvSpPr>
          <xdr:cNvPr id="44" name="Rectángulo: esquinas diagonales cortadas 43">
            <a:extLst>
              <a:ext uri="{FF2B5EF4-FFF2-40B4-BE49-F238E27FC236}">
                <a16:creationId xmlns:a16="http://schemas.microsoft.com/office/drawing/2014/main" id="{00000000-0008-0000-0700-00002C000000}"/>
              </a:ext>
            </a:extLst>
          </xdr:cNvPr>
          <xdr:cNvSpPr/>
        </xdr:nvSpPr>
        <xdr:spPr>
          <a:xfrm flipV="1">
            <a:off x="2931581" y="3196169"/>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5" name="CuadroTexto 44">
            <a:extLst>
              <a:ext uri="{FF2B5EF4-FFF2-40B4-BE49-F238E27FC236}">
                <a16:creationId xmlns:a16="http://schemas.microsoft.com/office/drawing/2014/main" id="{00000000-0008-0000-0700-00002D000000}"/>
              </a:ext>
            </a:extLst>
          </xdr:cNvPr>
          <xdr:cNvSpPr txBox="1"/>
        </xdr:nvSpPr>
        <xdr:spPr>
          <a:xfrm>
            <a:off x="2730500" y="3230223"/>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DIMENSIONES DEL TANQUE</a:t>
            </a:r>
          </a:p>
        </xdr:txBody>
      </xdr:sp>
    </xdr:grpSp>
    <xdr:clientData/>
  </xdr:twoCellAnchor>
  <xdr:twoCellAnchor editAs="absolute">
    <xdr:from>
      <xdr:col>5</xdr:col>
      <xdr:colOff>338666</xdr:colOff>
      <xdr:row>48</xdr:row>
      <xdr:rowOff>169335</xdr:rowOff>
    </xdr:from>
    <xdr:to>
      <xdr:col>13</xdr:col>
      <xdr:colOff>264584</xdr:colOff>
      <xdr:row>60</xdr:row>
      <xdr:rowOff>105835</xdr:rowOff>
    </xdr:to>
    <mc:AlternateContent xmlns:mc="http://schemas.openxmlformats.org/markup-compatibility/2006" xmlns:a14="http://schemas.microsoft.com/office/drawing/2010/main">
      <mc:Choice Requires="a14">
        <xdr:sp macro="" textlink="">
          <xdr:nvSpPr>
            <xdr:cNvPr id="52" name="Ecucaciones TDV">
              <a:extLst>
                <a:ext uri="{FF2B5EF4-FFF2-40B4-BE49-F238E27FC236}">
                  <a16:creationId xmlns:a16="http://schemas.microsoft.com/office/drawing/2014/main" id="{00000000-0008-0000-0700-000034000000}"/>
                </a:ext>
              </a:extLst>
            </xdr:cNvPr>
            <xdr:cNvSpPr txBox="1">
              <a:spLocks noChangeAspect="1"/>
            </xdr:cNvSpPr>
          </xdr:nvSpPr>
          <xdr:spPr>
            <a:xfrm>
              <a:off x="4148666" y="9313335"/>
              <a:ext cx="6021918" cy="22225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14:m>
                <m:oMath xmlns:m="http://schemas.openxmlformats.org/officeDocument/2006/math">
                  <m:r>
                    <a:rPr lang="es-MX" sz="1800" b="0" i="1">
                      <a:solidFill>
                        <a:schemeClr val="bg1"/>
                      </a:solidFill>
                      <a:latin typeface="Cambria Math" panose="02040503050406030204" pitchFamily="18" charset="0"/>
                    </a:rPr>
                    <m:t>𝑄</m:t>
                  </m:r>
                  <m:r>
                    <a:rPr lang="es-MX" sz="1800" b="0" i="1">
                      <a:solidFill>
                        <a:schemeClr val="bg1"/>
                      </a:solidFill>
                      <a:latin typeface="Cambria Math" panose="02040503050406030204" pitchFamily="18" charset="0"/>
                    </a:rPr>
                    <m:t>=</m:t>
                  </m:r>
                  <m:r>
                    <a:rPr lang="es-MX" sz="1800" b="0" i="1">
                      <a:solidFill>
                        <a:schemeClr val="bg1"/>
                      </a:solidFill>
                      <a:latin typeface="Cambria Math" panose="02040503050406030204" pitchFamily="18" charset="0"/>
                    </a:rPr>
                    <m:t>𝑘</m:t>
                  </m:r>
                  <m:r>
                    <a:rPr lang="es-MX" sz="1800" b="0" i="1">
                      <a:solidFill>
                        <a:schemeClr val="bg1"/>
                      </a:solidFill>
                      <a:latin typeface="Cambria Math" panose="02040503050406030204" pitchFamily="18" charset="0"/>
                      <a:ea typeface="Cambria Math" panose="02040503050406030204" pitchFamily="18" charset="0"/>
                    </a:rPr>
                    <m:t>∙</m:t>
                  </m:r>
                  <m:f>
                    <m:fPr>
                      <m:ctrlPr>
                        <a:rPr lang="es-MX" sz="1800" b="0" i="1">
                          <a:solidFill>
                            <a:schemeClr val="bg1"/>
                          </a:solidFill>
                          <a:latin typeface="Cambria Math" panose="02040503050406030204" pitchFamily="18" charset="0"/>
                        </a:rPr>
                      </m:ctrlPr>
                    </m:fPr>
                    <m:num>
                      <m:sSub>
                        <m:sSubPr>
                          <m:ctrlPr>
                            <a:rPr lang="es-MX" sz="1800" b="0" i="1">
                              <a:solidFill>
                                <a:schemeClr val="bg1"/>
                              </a:solidFill>
                              <a:latin typeface="Cambria Math" panose="02040503050406030204" pitchFamily="18" charset="0"/>
                            </a:rPr>
                          </m:ctrlPr>
                        </m:sSubPr>
                        <m:e>
                          <m:r>
                            <a:rPr lang="es-MX" sz="1800" b="0" i="1">
                              <a:solidFill>
                                <a:schemeClr val="bg1"/>
                              </a:solidFill>
                              <a:latin typeface="Cambria Math" panose="02040503050406030204" pitchFamily="18" charset="0"/>
                            </a:rPr>
                            <m:t>𝐻</m:t>
                          </m:r>
                        </m:e>
                        <m:sub>
                          <m:r>
                            <a:rPr lang="es-MX" sz="1800" b="0" i="1">
                              <a:solidFill>
                                <a:schemeClr val="bg1"/>
                              </a:solidFill>
                              <a:latin typeface="Cambria Math" panose="02040503050406030204" pitchFamily="18" charset="0"/>
                            </a:rPr>
                            <m:t>4</m:t>
                          </m:r>
                        </m:sub>
                      </m:sSub>
                      <m:r>
                        <a:rPr lang="es-MX" sz="1800" b="0" i="1">
                          <a:solidFill>
                            <a:schemeClr val="bg1"/>
                          </a:solidFill>
                          <a:latin typeface="Cambria Math" panose="02040503050406030204" pitchFamily="18" charset="0"/>
                        </a:rPr>
                        <m:t>−</m:t>
                      </m:r>
                      <m:sSub>
                        <m:sSubPr>
                          <m:ctrlPr>
                            <a:rPr lang="es-MX" sz="1800" b="0" i="1">
                              <a:solidFill>
                                <a:schemeClr val="bg1"/>
                              </a:solidFill>
                              <a:latin typeface="Cambria Math" panose="02040503050406030204" pitchFamily="18" charset="0"/>
                            </a:rPr>
                          </m:ctrlPr>
                        </m:sSubPr>
                        <m:e>
                          <m:r>
                            <a:rPr lang="es-MX" sz="1800" b="0" i="1">
                              <a:solidFill>
                                <a:schemeClr val="bg1"/>
                              </a:solidFill>
                              <a:latin typeface="Cambria Math" panose="02040503050406030204" pitchFamily="18" charset="0"/>
                            </a:rPr>
                            <m:t>𝐻</m:t>
                          </m:r>
                        </m:e>
                        <m:sub>
                          <m:r>
                            <a:rPr lang="es-MX" sz="1800" b="0" i="1">
                              <a:solidFill>
                                <a:schemeClr val="bg1"/>
                              </a:solidFill>
                              <a:latin typeface="Cambria Math" panose="02040503050406030204" pitchFamily="18" charset="0"/>
                            </a:rPr>
                            <m:t>3</m:t>
                          </m:r>
                        </m:sub>
                      </m:sSub>
                    </m:num>
                    <m:den>
                      <m:r>
                        <a:rPr lang="es-MX" sz="1800" b="0" i="1">
                          <a:solidFill>
                            <a:schemeClr val="bg1"/>
                          </a:solidFill>
                          <a:latin typeface="Cambria Math" panose="02040503050406030204" pitchFamily="18" charset="0"/>
                        </a:rPr>
                        <m:t>𝐿</m:t>
                      </m:r>
                    </m:den>
                  </m:f>
                  <m:r>
                    <a:rPr lang="es-MX" sz="1800" b="0" i="1">
                      <a:solidFill>
                        <a:schemeClr val="bg1"/>
                      </a:solidFill>
                      <a:latin typeface="Cambria Math" panose="02040503050406030204" pitchFamily="18" charset="0"/>
                      <a:ea typeface="Cambria Math" panose="02040503050406030204" pitchFamily="18" charset="0"/>
                    </a:rPr>
                    <m:t>∙</m:t>
                  </m:r>
                  <m:r>
                    <a:rPr lang="es-MX" sz="1800" b="0" i="1">
                      <a:solidFill>
                        <a:schemeClr val="bg1"/>
                      </a:solidFill>
                      <a:latin typeface="Cambria Math" panose="02040503050406030204" pitchFamily="18" charset="0"/>
                    </a:rPr>
                    <m:t>𝐴</m:t>
                  </m:r>
                  <m:r>
                    <a:rPr lang="es-MX" sz="1800" b="0" i="1">
                      <a:solidFill>
                        <a:schemeClr val="bg1"/>
                      </a:solidFill>
                      <a:latin typeface="Cambria Math" panose="02040503050406030204" pitchFamily="18" charset="0"/>
                    </a:rPr>
                    <m:t>=</m:t>
                  </m:r>
                  <m:r>
                    <a:rPr lang="es-MX" sz="1800" b="0" i="1">
                      <a:solidFill>
                        <a:schemeClr val="bg1"/>
                      </a:solidFill>
                      <a:latin typeface="Cambria Math" panose="02040503050406030204" pitchFamily="18" charset="0"/>
                    </a:rPr>
                    <m:t>𝑘</m:t>
                  </m:r>
                  <m:r>
                    <a:rPr lang="es-MX" sz="1800" b="0" i="1">
                      <a:solidFill>
                        <a:schemeClr val="bg1"/>
                      </a:solidFill>
                      <a:latin typeface="Cambria Math" panose="02040503050406030204" pitchFamily="18" charset="0"/>
                      <a:ea typeface="Cambria Math" panose="02040503050406030204" pitchFamily="18" charset="0"/>
                    </a:rPr>
                    <m:t>∙</m:t>
                  </m:r>
                  <m:r>
                    <a:rPr lang="es-MX" sz="1800" b="0" i="1">
                      <a:solidFill>
                        <a:schemeClr val="bg1"/>
                      </a:solidFill>
                      <a:latin typeface="Cambria Math" panose="02040503050406030204" pitchFamily="18" charset="0"/>
                      <a:ea typeface="Cambria Math" panose="02040503050406030204" pitchFamily="18" charset="0"/>
                    </a:rPr>
                    <m:t>𝑖</m:t>
                  </m:r>
                  <m:r>
                    <a:rPr lang="es-MX" sz="1800" b="0" i="1">
                      <a:solidFill>
                        <a:schemeClr val="bg1"/>
                      </a:solidFill>
                      <a:latin typeface="Cambria Math" panose="02040503050406030204" pitchFamily="18" charset="0"/>
                      <a:ea typeface="Cambria Math" panose="02040503050406030204" pitchFamily="18" charset="0"/>
                    </a:rPr>
                    <m:t>∙</m:t>
                  </m:r>
                  <m:r>
                    <a:rPr lang="es-MX" sz="1800" b="0" i="1">
                      <a:solidFill>
                        <a:schemeClr val="bg1"/>
                      </a:solidFill>
                      <a:latin typeface="Cambria Math" panose="02040503050406030204" pitchFamily="18" charset="0"/>
                      <a:ea typeface="Cambria Math" panose="02040503050406030204" pitchFamily="18" charset="0"/>
                    </a:rPr>
                    <m:t>𝐴</m:t>
                  </m:r>
                </m:oMath>
              </a14:m>
              <a:r>
                <a:rPr lang="es-CO" sz="1800">
                  <a:solidFill>
                    <a:schemeClr val="bg1"/>
                  </a:solidFill>
                </a:rPr>
                <a:t>	</a:t>
              </a:r>
            </a:p>
            <a:p>
              <a:pPr algn="l"/>
              <a:endParaRPr lang="es-CO" sz="1800" b="0" i="1">
                <a:solidFill>
                  <a:schemeClr val="bg1"/>
                </a:solidFill>
                <a:latin typeface="Cambria Math" panose="02040503050406030204" pitchFamily="18" charset="0"/>
              </a:endParaRPr>
            </a:p>
            <a:p>
              <a:pPr algn="l"/>
              <a14:m>
                <m:oMathPara xmlns:m="http://schemas.openxmlformats.org/officeDocument/2006/math">
                  <m:oMathParaPr>
                    <m:jc m:val="left"/>
                  </m:oMathParaPr>
                  <m:oMath xmlns:m="http://schemas.openxmlformats.org/officeDocument/2006/math">
                    <m:r>
                      <a:rPr lang="es-MX" sz="1400" b="0" i="1">
                        <a:solidFill>
                          <a:schemeClr val="bg1"/>
                        </a:solidFill>
                        <a:latin typeface="Cambria Math" panose="02040503050406030204" pitchFamily="18" charset="0"/>
                      </a:rPr>
                      <m:t>𝑄</m:t>
                    </m:r>
                    <m:r>
                      <a:rPr lang="es-MX" sz="1400" b="0" i="1">
                        <a:solidFill>
                          <a:schemeClr val="bg1"/>
                        </a:solidFill>
                        <a:latin typeface="Cambria Math" panose="02040503050406030204" pitchFamily="18" charset="0"/>
                      </a:rPr>
                      <m:t>=</m:t>
                    </m:r>
                    <m:r>
                      <a:rPr lang="es-MX" sz="1400" b="0" i="1">
                        <a:solidFill>
                          <a:schemeClr val="bg1"/>
                        </a:solidFill>
                        <a:latin typeface="Cambria Math" panose="02040503050406030204" pitchFamily="18" charset="0"/>
                      </a:rPr>
                      <m:t>𝐶𝑎𝑢𝑑𝑎𝑙</m:t>
                    </m:r>
                    <m:r>
                      <a:rPr lang="es-MX" sz="1400" b="0" i="1">
                        <a:solidFill>
                          <a:schemeClr val="bg1"/>
                        </a:solidFill>
                        <a:latin typeface="Cambria Math" panose="02040503050406030204" pitchFamily="18" charset="0"/>
                      </a:rPr>
                      <m:t> </m:t>
                    </m:r>
                    <m:r>
                      <a:rPr lang="es-MX" sz="1400" b="0" i="1">
                        <a:solidFill>
                          <a:schemeClr val="bg1"/>
                        </a:solidFill>
                        <a:latin typeface="Cambria Math" panose="02040503050406030204" pitchFamily="18" charset="0"/>
                      </a:rPr>
                      <m:t>𝑑𝑒</m:t>
                    </m:r>
                    <m:r>
                      <a:rPr lang="es-MX" sz="1400" b="0" i="1">
                        <a:solidFill>
                          <a:schemeClr val="bg1"/>
                        </a:solidFill>
                        <a:latin typeface="Cambria Math" panose="02040503050406030204" pitchFamily="18" charset="0"/>
                      </a:rPr>
                      <m:t> </m:t>
                    </m:r>
                    <m:r>
                      <a:rPr lang="es-MX" sz="1400" b="0" i="1">
                        <a:solidFill>
                          <a:schemeClr val="bg1"/>
                        </a:solidFill>
                        <a:latin typeface="Cambria Math" panose="02040503050406030204" pitchFamily="18" charset="0"/>
                      </a:rPr>
                      <m:t>𝑖𝑛𝑓𝑖𝑙𝑡𝑟𝑎𝑐𝑖</m:t>
                    </m:r>
                    <m:r>
                      <m:rPr>
                        <m:sty m:val="p"/>
                      </m:rPr>
                      <a:rPr lang="es-MX" sz="1400" b="0" i="1">
                        <a:solidFill>
                          <a:schemeClr val="bg1"/>
                        </a:solidFill>
                        <a:latin typeface="Cambria Math" panose="02040503050406030204" pitchFamily="18" charset="0"/>
                      </a:rPr>
                      <m:t>o</m:t>
                    </m:r>
                    <m:r>
                      <a:rPr lang="es-MX" sz="1400" b="0" i="1">
                        <a:solidFill>
                          <a:schemeClr val="bg1"/>
                        </a:solidFill>
                        <a:latin typeface="Cambria Math" panose="02040503050406030204" pitchFamily="18" charset="0"/>
                      </a:rPr>
                      <m:t>𝑛</m:t>
                    </m:r>
                    <m:r>
                      <a:rPr lang="es-MX" sz="1400" b="0" i="1">
                        <a:solidFill>
                          <a:schemeClr val="bg1"/>
                        </a:solidFill>
                        <a:latin typeface="Cambria Math" panose="02040503050406030204" pitchFamily="18" charset="0"/>
                      </a:rPr>
                      <m:t> </m:t>
                    </m:r>
                    <m:r>
                      <a:rPr lang="es-MX" sz="1400" b="0" i="1">
                        <a:solidFill>
                          <a:schemeClr val="bg1"/>
                        </a:solidFill>
                        <a:latin typeface="Cambria Math" panose="02040503050406030204" pitchFamily="18" charset="0"/>
                      </a:rPr>
                      <m:t>𝑑𝑒𝑙</m:t>
                    </m:r>
                    <m:r>
                      <a:rPr lang="es-MX" sz="1400" b="0" i="1">
                        <a:solidFill>
                          <a:schemeClr val="bg1"/>
                        </a:solidFill>
                        <a:latin typeface="Cambria Math" panose="02040503050406030204" pitchFamily="18" charset="0"/>
                      </a:rPr>
                      <m:t> </m:t>
                    </m:r>
                    <m:r>
                      <a:rPr lang="es-MX" sz="1400" b="0" i="1">
                        <a:solidFill>
                          <a:schemeClr val="bg1"/>
                        </a:solidFill>
                        <a:latin typeface="Cambria Math" panose="02040503050406030204" pitchFamily="18" charset="0"/>
                      </a:rPr>
                      <m:t>𝑡𝑎𝑛𝑞𝑢𝑒</m:t>
                    </m:r>
                  </m:oMath>
                </m:oMathPara>
              </a14:m>
              <a:endParaRPr lang="es-MX" sz="1400" b="0" i="1">
                <a:solidFill>
                  <a:schemeClr val="bg1"/>
                </a:solidFill>
                <a:latin typeface="Cambria Math" panose="02040503050406030204" pitchFamily="18" charset="0"/>
              </a:endParaRPr>
            </a:p>
            <a:p>
              <a:pPr algn="l"/>
              <a:r>
                <a:rPr lang="es-ES" sz="1400" b="0">
                  <a:solidFill>
                    <a:schemeClr val="bg1"/>
                  </a:solidFill>
                </a:rPr>
                <a:t>A</a:t>
              </a:r>
              <a14:m>
                <m:oMath xmlns:m="http://schemas.openxmlformats.org/officeDocument/2006/math">
                  <m:r>
                    <a:rPr lang="es-ES" sz="1400" b="0" i="1">
                      <a:solidFill>
                        <a:schemeClr val="bg1"/>
                      </a:solidFill>
                      <a:latin typeface="Cambria Math" panose="02040503050406030204" pitchFamily="18" charset="0"/>
                    </a:rPr>
                    <m:t>=Á</m:t>
                  </m:r>
                  <m:r>
                    <a:rPr lang="es-ES" sz="1400" b="0" i="1">
                      <a:solidFill>
                        <a:schemeClr val="bg1"/>
                      </a:solidFill>
                      <a:latin typeface="Cambria Math" panose="02040503050406030204" pitchFamily="18" charset="0"/>
                    </a:rPr>
                    <m:t>𝑟𝑒𝑎</m:t>
                  </m:r>
                  <m:r>
                    <a:rPr lang="es-ES" sz="1400" b="0" i="1">
                      <a:solidFill>
                        <a:schemeClr val="bg1"/>
                      </a:solidFill>
                      <a:latin typeface="Cambria Math" panose="02040503050406030204" pitchFamily="18" charset="0"/>
                    </a:rPr>
                    <m:t> </m:t>
                  </m:r>
                  <m:r>
                    <a:rPr lang="es-MX" sz="1400" b="0" i="1">
                      <a:solidFill>
                        <a:schemeClr val="bg1"/>
                      </a:solidFill>
                      <a:latin typeface="Cambria Math" panose="02040503050406030204" pitchFamily="18" charset="0"/>
                    </a:rPr>
                    <m:t>𝑑𝑒</m:t>
                  </m:r>
                  <m:r>
                    <a:rPr lang="es-MX" sz="1400" b="0" i="1">
                      <a:solidFill>
                        <a:schemeClr val="bg1"/>
                      </a:solidFill>
                      <a:latin typeface="Cambria Math" panose="02040503050406030204" pitchFamily="18" charset="0"/>
                    </a:rPr>
                    <m:t> </m:t>
                  </m:r>
                  <m:r>
                    <a:rPr lang="es-MX" sz="1400" b="0" i="1">
                      <a:solidFill>
                        <a:schemeClr val="bg1"/>
                      </a:solidFill>
                      <a:latin typeface="Cambria Math" panose="02040503050406030204" pitchFamily="18" charset="0"/>
                    </a:rPr>
                    <m:t>𝑐𝑜𝑛𝑡𝑎𝑐𝑡𝑜</m:t>
                  </m:r>
                  <m:r>
                    <a:rPr lang="es-MX" sz="1400" b="0" i="1">
                      <a:solidFill>
                        <a:schemeClr val="bg1"/>
                      </a:solidFill>
                      <a:latin typeface="Cambria Math" panose="02040503050406030204" pitchFamily="18" charset="0"/>
                    </a:rPr>
                    <m:t> </m:t>
                  </m:r>
                  <m:r>
                    <a:rPr lang="es-MX" sz="1400" b="0" i="1">
                      <a:solidFill>
                        <a:schemeClr val="bg1"/>
                      </a:solidFill>
                      <a:latin typeface="Cambria Math" panose="02040503050406030204" pitchFamily="18" charset="0"/>
                    </a:rPr>
                    <m:t>𝑑𝑒𝑙</m:t>
                  </m:r>
                  <m:r>
                    <a:rPr lang="es-MX" sz="1400" b="0" i="1">
                      <a:solidFill>
                        <a:schemeClr val="bg1"/>
                      </a:solidFill>
                      <a:latin typeface="Cambria Math" panose="02040503050406030204" pitchFamily="18" charset="0"/>
                    </a:rPr>
                    <m:t> </m:t>
                  </m:r>
                  <m:r>
                    <a:rPr lang="es-MX" sz="1400" b="0" i="1">
                      <a:solidFill>
                        <a:schemeClr val="bg1"/>
                      </a:solidFill>
                      <a:latin typeface="Cambria Math" panose="02040503050406030204" pitchFamily="18" charset="0"/>
                    </a:rPr>
                    <m:t>𝑡𝑎𝑛𝑞𝑢𝑒</m:t>
                  </m:r>
                  <m:r>
                    <a:rPr lang="es-MX" sz="1400" b="0" i="1">
                      <a:solidFill>
                        <a:schemeClr val="bg1"/>
                      </a:solidFill>
                      <a:latin typeface="Cambria Math" panose="02040503050406030204" pitchFamily="18" charset="0"/>
                    </a:rPr>
                    <m:t> </m:t>
                  </m:r>
                  <m:r>
                    <a:rPr lang="es-MX" sz="1400" b="0" i="1">
                      <a:solidFill>
                        <a:schemeClr val="bg1"/>
                      </a:solidFill>
                      <a:latin typeface="Cambria Math" panose="02040503050406030204" pitchFamily="18" charset="0"/>
                    </a:rPr>
                    <m:t>𝑐𝑜𝑛</m:t>
                  </m:r>
                  <m:r>
                    <a:rPr lang="es-MX" sz="1400" b="0" i="1">
                      <a:solidFill>
                        <a:schemeClr val="bg1"/>
                      </a:solidFill>
                      <a:latin typeface="Cambria Math" panose="02040503050406030204" pitchFamily="18" charset="0"/>
                    </a:rPr>
                    <m:t> </m:t>
                  </m:r>
                  <m:r>
                    <a:rPr lang="es-MX" sz="1400" b="0" i="1">
                      <a:solidFill>
                        <a:schemeClr val="bg1"/>
                      </a:solidFill>
                      <a:latin typeface="Cambria Math" panose="02040503050406030204" pitchFamily="18" charset="0"/>
                    </a:rPr>
                    <m:t>𝑒𝑙</m:t>
                  </m:r>
                  <m:r>
                    <a:rPr lang="es-MX" sz="1400" b="0" i="1">
                      <a:solidFill>
                        <a:schemeClr val="bg1"/>
                      </a:solidFill>
                      <a:latin typeface="Cambria Math" panose="02040503050406030204" pitchFamily="18" charset="0"/>
                    </a:rPr>
                    <m:t> </m:t>
                  </m:r>
                  <m:r>
                    <a:rPr lang="es-MX" sz="1400" b="0" i="1">
                      <a:solidFill>
                        <a:schemeClr val="bg1"/>
                      </a:solidFill>
                      <a:latin typeface="Cambria Math" panose="02040503050406030204" pitchFamily="18" charset="0"/>
                    </a:rPr>
                    <m:t>𝑚𝑎𝑡𝑒𝑟𝑖𝑎𝑙</m:t>
                  </m:r>
                  <m:r>
                    <a:rPr lang="es-MX" sz="1400" b="0" i="1">
                      <a:solidFill>
                        <a:schemeClr val="bg1"/>
                      </a:solidFill>
                      <a:latin typeface="Cambria Math" panose="02040503050406030204" pitchFamily="18" charset="0"/>
                    </a:rPr>
                    <m:t> </m:t>
                  </m:r>
                  <m:r>
                    <a:rPr lang="es-MX" sz="1400" b="0" i="1">
                      <a:solidFill>
                        <a:schemeClr val="bg1"/>
                      </a:solidFill>
                      <a:latin typeface="Cambria Math" panose="02040503050406030204" pitchFamily="18" charset="0"/>
                    </a:rPr>
                    <m:t>𝑓𝑖𝑙𝑡𝑟𝑎𝑛𝑡𝑒</m:t>
                  </m:r>
                </m:oMath>
              </a14:m>
              <a:endParaRPr lang="es-CO" sz="1800">
                <a:solidFill>
                  <a:schemeClr val="bg1"/>
                </a:solidFill>
              </a:endParaRPr>
            </a:p>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m:rPr>
                      <m:sty m:val="p"/>
                    </m:rPr>
                    <a:rPr lang="es-ES" sz="1400" b="0" i="1">
                      <a:solidFill>
                        <a:schemeClr val="bg1"/>
                      </a:solidFill>
                      <a:effectLst/>
                      <a:latin typeface="Cambria Math" panose="02040503050406030204" pitchFamily="18" charset="0"/>
                      <a:ea typeface="+mn-ea"/>
                      <a:cs typeface="+mn-cs"/>
                    </a:rPr>
                    <m:t>i</m:t>
                  </m:r>
                  <m:r>
                    <a:rPr lang="es-MX" sz="1400" b="0" i="1">
                      <a:solidFill>
                        <a:schemeClr val="bg1"/>
                      </a:solidFill>
                      <a:effectLst/>
                      <a:latin typeface="Cambria Math" panose="02040503050406030204" pitchFamily="18" charset="0"/>
                      <a:ea typeface="+mn-ea"/>
                      <a:cs typeface="+mn-cs"/>
                    </a:rPr>
                    <m:t>=</m:t>
                  </m:r>
                  <m:r>
                    <a:rPr lang="es-MX" sz="1400" b="0" i="1">
                      <a:solidFill>
                        <a:schemeClr val="bg1"/>
                      </a:solidFill>
                      <a:effectLst/>
                      <a:latin typeface="Cambria Math" panose="02040503050406030204" pitchFamily="18" charset="0"/>
                      <a:ea typeface="+mn-ea"/>
                      <a:cs typeface="+mn-cs"/>
                    </a:rPr>
                    <m:t>𝐺𝑟𝑎𝑑𝑖𝑒𝑛𝑡𝑒</m:t>
                  </m:r>
                  <m:r>
                    <a:rPr lang="es-MX" sz="1400" b="0" i="1">
                      <a:solidFill>
                        <a:schemeClr val="bg1"/>
                      </a:solidFill>
                      <a:effectLst/>
                      <a:latin typeface="Cambria Math" panose="02040503050406030204" pitchFamily="18" charset="0"/>
                      <a:ea typeface="+mn-ea"/>
                      <a:cs typeface="+mn-cs"/>
                    </a:rPr>
                    <m:t> </m:t>
                  </m:r>
                  <m:r>
                    <a:rPr lang="es-MX" sz="1400" b="0" i="1">
                      <a:solidFill>
                        <a:schemeClr val="bg1"/>
                      </a:solidFill>
                      <a:effectLst/>
                      <a:latin typeface="Cambria Math" panose="02040503050406030204" pitchFamily="18" charset="0"/>
                      <a:ea typeface="+mn-ea"/>
                      <a:cs typeface="+mn-cs"/>
                    </a:rPr>
                    <m:t>h𝑖𝑑𝑟</m:t>
                  </m:r>
                  <m:r>
                    <a:rPr lang="es-MX" sz="1400" b="0" i="1">
                      <a:solidFill>
                        <a:schemeClr val="bg1"/>
                      </a:solidFill>
                      <a:effectLst/>
                      <a:latin typeface="Cambria Math" panose="02040503050406030204" pitchFamily="18" charset="0"/>
                      <a:ea typeface="+mn-ea"/>
                      <a:cs typeface="+mn-cs"/>
                    </a:rPr>
                    <m:t>á</m:t>
                  </m:r>
                  <m:r>
                    <a:rPr lang="es-MX" sz="1400" b="0" i="1">
                      <a:solidFill>
                        <a:schemeClr val="bg1"/>
                      </a:solidFill>
                      <a:effectLst/>
                      <a:latin typeface="Cambria Math" panose="02040503050406030204" pitchFamily="18" charset="0"/>
                      <a:ea typeface="+mn-ea"/>
                      <a:cs typeface="+mn-cs"/>
                    </a:rPr>
                    <m:t>𝑢𝑙𝑖𝑐𝑜</m:t>
                  </m:r>
                  <m:r>
                    <a:rPr lang="es-MX" sz="1400" b="0" i="1">
                      <a:solidFill>
                        <a:schemeClr val="bg1"/>
                      </a:solidFill>
                      <a:effectLst/>
                      <a:latin typeface="Cambria Math" panose="02040503050406030204" pitchFamily="18" charset="0"/>
                      <a:ea typeface="+mn-ea"/>
                      <a:cs typeface="+mn-cs"/>
                    </a:rPr>
                    <m:t> </m:t>
                  </m:r>
                  <m:r>
                    <a:rPr lang="es-MX" sz="1400" b="0" i="1">
                      <a:solidFill>
                        <a:schemeClr val="bg1"/>
                      </a:solidFill>
                      <a:effectLst/>
                      <a:latin typeface="Cambria Math" panose="02040503050406030204" pitchFamily="18" charset="0"/>
                      <a:ea typeface="+mn-ea"/>
                      <a:cs typeface="+mn-cs"/>
                    </a:rPr>
                    <m:t>𝑑𝑒𝑝𝑒𝑛𝑑𝑖𝑒𝑛𝑡𝑒</m:t>
                  </m:r>
                  <m:r>
                    <a:rPr lang="es-MX" sz="1400" b="0" i="1">
                      <a:solidFill>
                        <a:schemeClr val="bg1"/>
                      </a:solidFill>
                      <a:effectLst/>
                      <a:latin typeface="Cambria Math" panose="02040503050406030204" pitchFamily="18" charset="0"/>
                      <a:ea typeface="+mn-ea"/>
                      <a:cs typeface="+mn-cs"/>
                    </a:rPr>
                    <m:t> </m:t>
                  </m:r>
                  <m:r>
                    <a:rPr lang="es-MX" sz="1400" b="0" i="1">
                      <a:solidFill>
                        <a:schemeClr val="bg1"/>
                      </a:solidFill>
                      <a:effectLst/>
                      <a:latin typeface="Cambria Math" panose="02040503050406030204" pitchFamily="18" charset="0"/>
                      <a:ea typeface="+mn-ea"/>
                      <a:cs typeface="+mn-cs"/>
                    </a:rPr>
                    <m:t>𝑑𝑒</m:t>
                  </m:r>
                  <m:r>
                    <a:rPr lang="es-MX" sz="1400" b="0" i="1">
                      <a:solidFill>
                        <a:schemeClr val="bg1"/>
                      </a:solidFill>
                      <a:effectLst/>
                      <a:latin typeface="Cambria Math" panose="02040503050406030204" pitchFamily="18" charset="0"/>
                      <a:ea typeface="+mn-ea"/>
                      <a:cs typeface="+mn-cs"/>
                    </a:rPr>
                    <m:t> </m:t>
                  </m:r>
                  <m:r>
                    <a:rPr lang="es-MX" sz="1400" b="0" i="1">
                      <a:solidFill>
                        <a:schemeClr val="bg1"/>
                      </a:solidFill>
                      <a:effectLst/>
                      <a:latin typeface="Cambria Math" panose="02040503050406030204" pitchFamily="18" charset="0"/>
                      <a:ea typeface="+mn-ea"/>
                      <a:cs typeface="+mn-cs"/>
                    </a:rPr>
                    <m:t>𝑙𝑎𝑠</m:t>
                  </m:r>
                  <m:r>
                    <a:rPr lang="es-MX" sz="1400" b="0" i="1">
                      <a:solidFill>
                        <a:schemeClr val="bg1"/>
                      </a:solidFill>
                      <a:effectLst/>
                      <a:latin typeface="Cambria Math" panose="02040503050406030204" pitchFamily="18" charset="0"/>
                      <a:ea typeface="+mn-ea"/>
                      <a:cs typeface="+mn-cs"/>
                    </a:rPr>
                    <m:t> </m:t>
                  </m:r>
                  <m:r>
                    <a:rPr lang="es-MX" sz="1400" b="0" i="1">
                      <a:solidFill>
                        <a:schemeClr val="bg1"/>
                      </a:solidFill>
                      <a:effectLst/>
                      <a:latin typeface="Cambria Math" panose="02040503050406030204" pitchFamily="18" charset="0"/>
                      <a:ea typeface="+mn-ea"/>
                      <a:cs typeface="+mn-cs"/>
                    </a:rPr>
                    <m:t>𝑎𝑙𝑡𝑢𝑟𝑎𝑠</m:t>
                  </m:r>
                  <m:r>
                    <a:rPr lang="es-MX" sz="1400" b="0" i="1">
                      <a:solidFill>
                        <a:schemeClr val="bg1"/>
                      </a:solidFill>
                      <a:effectLst/>
                      <a:latin typeface="Cambria Math" panose="02040503050406030204" pitchFamily="18" charset="0"/>
                      <a:ea typeface="+mn-ea"/>
                      <a:cs typeface="+mn-cs"/>
                    </a:rPr>
                    <m:t> </m:t>
                  </m:r>
                  <m:r>
                    <a:rPr lang="es-MX" sz="1400" b="0" i="1">
                      <a:solidFill>
                        <a:schemeClr val="bg1"/>
                      </a:solidFill>
                      <a:effectLst/>
                      <a:latin typeface="Cambria Math" panose="02040503050406030204" pitchFamily="18" charset="0"/>
                      <a:ea typeface="+mn-ea"/>
                      <a:cs typeface="+mn-cs"/>
                    </a:rPr>
                    <m:t>𝑑𝑒</m:t>
                  </m:r>
                  <m:r>
                    <a:rPr lang="es-MX" sz="1400" b="0" i="1">
                      <a:solidFill>
                        <a:schemeClr val="bg1"/>
                      </a:solidFill>
                      <a:effectLst/>
                      <a:latin typeface="Cambria Math" panose="02040503050406030204" pitchFamily="18" charset="0"/>
                      <a:ea typeface="+mn-ea"/>
                      <a:cs typeface="+mn-cs"/>
                    </a:rPr>
                    <m:t> </m:t>
                  </m:r>
                  <m:r>
                    <a:rPr lang="es-MX" sz="1400" b="0" i="1">
                      <a:solidFill>
                        <a:schemeClr val="bg1"/>
                      </a:solidFill>
                      <a:effectLst/>
                      <a:latin typeface="Cambria Math" panose="02040503050406030204" pitchFamily="18" charset="0"/>
                      <a:ea typeface="+mn-ea"/>
                      <a:cs typeface="+mn-cs"/>
                    </a:rPr>
                    <m:t>𝑟𝑒𝑓𝑒𝑟𝑒𝑛𝑐𝑖𝑎</m:t>
                  </m:r>
                </m:oMath>
              </a14:m>
              <a:r>
                <a:rPr lang="es-ES" sz="1800" b="0">
                  <a:solidFill>
                    <a:schemeClr val="bg1"/>
                  </a:solidFill>
                </a:rPr>
                <a:t>		</a:t>
              </a:r>
            </a:p>
          </xdr:txBody>
        </xdr:sp>
      </mc:Choice>
      <mc:Fallback xmlns="">
        <xdr:sp macro="" textlink="">
          <xdr:nvSpPr>
            <xdr:cNvPr id="52" name="Ecucaciones TDV">
              <a:extLst>
                <a:ext uri="{FF2B5EF4-FFF2-40B4-BE49-F238E27FC236}">
                  <a16:creationId xmlns:a16="http://schemas.microsoft.com/office/drawing/2014/main" id="{00000000-0008-0000-0500-000034000000}"/>
                </a:ext>
              </a:extLst>
            </xdr:cNvPr>
            <xdr:cNvSpPr txBox="1">
              <a:spLocks noChangeAspect="1"/>
            </xdr:cNvSpPr>
          </xdr:nvSpPr>
          <xdr:spPr>
            <a:xfrm>
              <a:off x="4148666" y="9313335"/>
              <a:ext cx="6021918" cy="22225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MX" sz="1800" b="0" i="0">
                  <a:solidFill>
                    <a:schemeClr val="bg1"/>
                  </a:solidFill>
                  <a:latin typeface="Cambria Math" panose="02040503050406030204" pitchFamily="18" charset="0"/>
                </a:rPr>
                <a:t>𝑄=𝑘</a:t>
              </a:r>
              <a:r>
                <a:rPr lang="es-MX" sz="1800" b="0" i="0">
                  <a:solidFill>
                    <a:schemeClr val="bg1"/>
                  </a:solidFill>
                  <a:latin typeface="Cambria Math" panose="02040503050406030204" pitchFamily="18" charset="0"/>
                  <a:ea typeface="Cambria Math" panose="02040503050406030204" pitchFamily="18" charset="0"/>
                </a:rPr>
                <a:t>∙</a:t>
              </a:r>
              <a:r>
                <a:rPr lang="es-MX" sz="1800" b="0" i="0">
                  <a:solidFill>
                    <a:schemeClr val="bg1"/>
                  </a:solidFill>
                  <a:latin typeface="Cambria Math" panose="02040503050406030204" pitchFamily="18" charset="0"/>
                </a:rPr>
                <a:t>(𝐻_4−𝐻_3)/𝐿</a:t>
              </a:r>
              <a:r>
                <a:rPr lang="es-MX" sz="1800" b="0" i="0">
                  <a:solidFill>
                    <a:schemeClr val="bg1"/>
                  </a:solidFill>
                  <a:latin typeface="Cambria Math" panose="02040503050406030204" pitchFamily="18" charset="0"/>
                  <a:ea typeface="Cambria Math" panose="02040503050406030204" pitchFamily="18" charset="0"/>
                </a:rPr>
                <a:t>∙</a:t>
              </a:r>
              <a:r>
                <a:rPr lang="es-MX" sz="1800" b="0" i="0">
                  <a:solidFill>
                    <a:schemeClr val="bg1"/>
                  </a:solidFill>
                  <a:latin typeface="Cambria Math" panose="02040503050406030204" pitchFamily="18" charset="0"/>
                </a:rPr>
                <a:t>𝐴=𝑘</a:t>
              </a:r>
              <a:r>
                <a:rPr lang="es-MX" sz="1800" b="0" i="0">
                  <a:solidFill>
                    <a:schemeClr val="bg1"/>
                  </a:solidFill>
                  <a:latin typeface="Cambria Math" panose="02040503050406030204" pitchFamily="18" charset="0"/>
                  <a:ea typeface="Cambria Math" panose="02040503050406030204" pitchFamily="18" charset="0"/>
                </a:rPr>
                <a:t>∙𝑖∙𝐴</a:t>
              </a:r>
              <a:r>
                <a:rPr lang="es-CO" sz="1800">
                  <a:solidFill>
                    <a:schemeClr val="bg1"/>
                  </a:solidFill>
                </a:rPr>
                <a:t>	</a:t>
              </a:r>
            </a:p>
            <a:p>
              <a:pPr algn="l"/>
              <a:endParaRPr lang="es-CO" sz="1800" b="0" i="1">
                <a:solidFill>
                  <a:schemeClr val="bg1"/>
                </a:solidFill>
                <a:latin typeface="Cambria Math" panose="02040503050406030204" pitchFamily="18" charset="0"/>
              </a:endParaRPr>
            </a:p>
            <a:p>
              <a:pPr algn="l"/>
              <a:r>
                <a:rPr lang="es-MX" sz="1400" b="0" i="0">
                  <a:solidFill>
                    <a:schemeClr val="bg1"/>
                  </a:solidFill>
                  <a:latin typeface="Cambria Math" panose="02040503050406030204" pitchFamily="18" charset="0"/>
                </a:rPr>
                <a:t>𝑄=𝐶𝑎𝑢𝑑𝑎𝑙 𝑑𝑒 𝑖𝑛𝑓𝑖𝑙𝑡𝑟𝑎𝑐𝑖o𝑛 𝑑𝑒𝑙 𝑡𝑎𝑛𝑞𝑢𝑒</a:t>
              </a:r>
              <a:endParaRPr lang="es-MX" sz="1400" b="0" i="1">
                <a:solidFill>
                  <a:schemeClr val="bg1"/>
                </a:solidFill>
                <a:latin typeface="Cambria Math" panose="02040503050406030204" pitchFamily="18" charset="0"/>
              </a:endParaRPr>
            </a:p>
            <a:p>
              <a:pPr algn="l"/>
              <a:r>
                <a:rPr lang="es-ES" sz="1400" b="0">
                  <a:solidFill>
                    <a:schemeClr val="bg1"/>
                  </a:solidFill>
                </a:rPr>
                <a:t>A</a:t>
              </a:r>
              <a:r>
                <a:rPr lang="es-ES" sz="1400" b="0" i="0">
                  <a:solidFill>
                    <a:schemeClr val="bg1"/>
                  </a:solidFill>
                  <a:latin typeface="Cambria Math" panose="02040503050406030204" pitchFamily="18" charset="0"/>
                </a:rPr>
                <a:t>=Á𝑟𝑒𝑎 </a:t>
              </a:r>
              <a:r>
                <a:rPr lang="es-MX" sz="1400" b="0" i="0">
                  <a:solidFill>
                    <a:schemeClr val="bg1"/>
                  </a:solidFill>
                  <a:latin typeface="Cambria Math" panose="02040503050406030204" pitchFamily="18" charset="0"/>
                </a:rPr>
                <a:t>𝑑𝑒 𝑐𝑜𝑛𝑡𝑎𝑐𝑡𝑜 𝑑𝑒𝑙 𝑡𝑎𝑛𝑞𝑢𝑒 𝑐𝑜𝑛 𝑒𝑙 𝑚𝑎𝑡𝑒𝑟𝑖𝑎𝑙 𝑓𝑖𝑙𝑡𝑟𝑎𝑛𝑡𝑒</a:t>
              </a:r>
              <a:endParaRPr lang="es-CO" sz="1800">
                <a:solidFill>
                  <a:schemeClr val="bg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ES" sz="1400" b="0" i="0">
                  <a:solidFill>
                    <a:schemeClr val="bg1"/>
                  </a:solidFill>
                  <a:effectLst/>
                  <a:latin typeface="Cambria Math" panose="02040503050406030204" pitchFamily="18" charset="0"/>
                  <a:ea typeface="+mn-ea"/>
                  <a:cs typeface="+mn-cs"/>
                </a:rPr>
                <a:t>i</a:t>
              </a:r>
              <a:r>
                <a:rPr lang="es-MX" sz="1400" b="0" i="0">
                  <a:solidFill>
                    <a:schemeClr val="bg1"/>
                  </a:solidFill>
                  <a:effectLst/>
                  <a:latin typeface="Cambria Math" panose="02040503050406030204" pitchFamily="18" charset="0"/>
                  <a:ea typeface="+mn-ea"/>
                  <a:cs typeface="+mn-cs"/>
                </a:rPr>
                <a:t>=𝐺𝑟𝑎𝑑𝑖𝑒𝑛𝑡𝑒 ℎ𝑖𝑑𝑟á𝑢𝑙𝑖𝑐𝑜 𝑑𝑒𝑝𝑒𝑛𝑑𝑖𝑒𝑛𝑡𝑒 𝑑𝑒 𝑙𝑎𝑠 𝑎𝑙𝑡𝑢𝑟𝑎𝑠 𝑑𝑒 𝑟𝑒𝑓𝑒𝑟𝑒𝑛𝑐𝑖𝑎</a:t>
              </a:r>
              <a:r>
                <a:rPr lang="es-ES" sz="1800" b="0">
                  <a:solidFill>
                    <a:schemeClr val="bg1"/>
                  </a:solidFill>
                </a:rPr>
                <a:t>		</a:t>
              </a:r>
            </a:p>
          </xdr:txBody>
        </xdr:sp>
      </mc:Fallback>
    </mc:AlternateContent>
    <xdr:clientData/>
  </xdr:twoCellAnchor>
  <xdr:twoCellAnchor editAs="absolute">
    <xdr:from>
      <xdr:col>12</xdr:col>
      <xdr:colOff>457372</xdr:colOff>
      <xdr:row>0</xdr:row>
      <xdr:rowOff>21166</xdr:rowOff>
    </xdr:from>
    <xdr:to>
      <xdr:col>14</xdr:col>
      <xdr:colOff>761299</xdr:colOff>
      <xdr:row>5</xdr:row>
      <xdr:rowOff>33618</xdr:rowOff>
    </xdr:to>
    <xdr:grpSp>
      <xdr:nvGrpSpPr>
        <xdr:cNvPr id="42" name="DDM">
          <a:extLst>
            <a:ext uri="{FF2B5EF4-FFF2-40B4-BE49-F238E27FC236}">
              <a16:creationId xmlns:a16="http://schemas.microsoft.com/office/drawing/2014/main" id="{00000000-0008-0000-0700-00002A000000}"/>
            </a:ext>
          </a:extLst>
        </xdr:cNvPr>
        <xdr:cNvGrpSpPr>
          <a:grpSpLocks noChangeAspect="1"/>
        </xdr:cNvGrpSpPr>
      </xdr:nvGrpSpPr>
      <xdr:grpSpPr>
        <a:xfrm>
          <a:off x="9601372" y="21166"/>
          <a:ext cx="1827927" cy="964952"/>
          <a:chOff x="9613278" y="21166"/>
          <a:chExt cx="1827927" cy="964952"/>
        </a:xfrm>
      </xdr:grpSpPr>
      <xdr:sp macro="[0]!DDM" textlink="">
        <xdr:nvSpPr>
          <xdr:cNvPr id="7" name="Pestaña DDM">
            <a:extLst>
              <a:ext uri="{FF2B5EF4-FFF2-40B4-BE49-F238E27FC236}">
                <a16:creationId xmlns:a16="http://schemas.microsoft.com/office/drawing/2014/main" id="{00000000-0008-0000-0700-000007000000}"/>
              </a:ext>
            </a:extLst>
          </xdr:cNvPr>
          <xdr:cNvSpPr/>
        </xdr:nvSpPr>
        <xdr:spPr>
          <a:xfrm flipH="1">
            <a:off x="9613278" y="21166"/>
            <a:ext cx="1810800" cy="964952"/>
          </a:xfrm>
          <a:custGeom>
            <a:avLst/>
            <a:gdLst>
              <a:gd name="connsiteX0" fmla="*/ 289766 w 1739654"/>
              <a:gd name="connsiteY0" fmla="*/ 0 h 857912"/>
              <a:gd name="connsiteX1" fmla="*/ 1153172 w 1739654"/>
              <a:gd name="connsiteY1" fmla="*/ 0 h 857912"/>
              <a:gd name="connsiteX2" fmla="*/ 1171726 w 1739654"/>
              <a:gd name="connsiteY2" fmla="*/ 1871 h 857912"/>
              <a:gd name="connsiteX3" fmla="*/ 1448928 w 1739654"/>
              <a:gd name="connsiteY3" fmla="*/ 279073 h 857912"/>
              <a:gd name="connsiteX4" fmla="*/ 1449888 w 1739654"/>
              <a:gd name="connsiteY4" fmla="*/ 288599 h 857912"/>
              <a:gd name="connsiteX5" fmla="*/ 1449888 w 1739654"/>
              <a:gd name="connsiteY5" fmla="*/ 568146 h 857912"/>
              <a:gd name="connsiteX6" fmla="*/ 1739654 w 1739654"/>
              <a:gd name="connsiteY6" fmla="*/ 857912 h 857912"/>
              <a:gd name="connsiteX7" fmla="*/ 352308 w 1739654"/>
              <a:gd name="connsiteY7" fmla="*/ 857912 h 857912"/>
              <a:gd name="connsiteX8" fmla="*/ 0 w 1739654"/>
              <a:gd name="connsiteY8" fmla="*/ 857912 h 857912"/>
              <a:gd name="connsiteX9" fmla="*/ 0 w 1739654"/>
              <a:gd name="connsiteY9" fmla="*/ 289766 h 857912"/>
              <a:gd name="connsiteX10" fmla="*/ 289766 w 1739654"/>
              <a:gd name="connsiteY10" fmla="*/ 0 h 857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39654" h="857912">
                <a:moveTo>
                  <a:pt x="289766" y="0"/>
                </a:moveTo>
                <a:lnTo>
                  <a:pt x="1153172" y="0"/>
                </a:lnTo>
                <a:lnTo>
                  <a:pt x="1171726" y="1871"/>
                </a:lnTo>
                <a:cubicBezTo>
                  <a:pt x="1310865" y="30343"/>
                  <a:pt x="1420456" y="139933"/>
                  <a:pt x="1448928" y="279073"/>
                </a:cubicBezTo>
                <a:lnTo>
                  <a:pt x="1449888" y="288599"/>
                </a:lnTo>
                <a:lnTo>
                  <a:pt x="1449888" y="568146"/>
                </a:lnTo>
                <a:cubicBezTo>
                  <a:pt x="1449888" y="728179"/>
                  <a:pt x="1579621" y="857912"/>
                  <a:pt x="1739654" y="857912"/>
                </a:cubicBezTo>
                <a:lnTo>
                  <a:pt x="352308" y="857912"/>
                </a:lnTo>
                <a:lnTo>
                  <a:pt x="0" y="857912"/>
                </a:lnTo>
                <a:lnTo>
                  <a:pt x="0" y="289766"/>
                </a:lnTo>
                <a:cubicBezTo>
                  <a:pt x="0" y="129733"/>
                  <a:pt x="129733" y="0"/>
                  <a:pt x="289766" y="0"/>
                </a:cubicBezTo>
                <a:close/>
              </a:path>
            </a:pathLst>
          </a:custGeom>
          <a:solidFill>
            <a:srgbClr val="2B2B6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0]!DDM" textlink="">
        <xdr:nvSpPr>
          <xdr:cNvPr id="12" name="Texto DDM">
            <a:extLst>
              <a:ext uri="{FF2B5EF4-FFF2-40B4-BE49-F238E27FC236}">
                <a16:creationId xmlns:a16="http://schemas.microsoft.com/office/drawing/2014/main" id="{00000000-0008-0000-0700-00000C000000}"/>
              </a:ext>
            </a:extLst>
          </xdr:cNvPr>
          <xdr:cNvSpPr txBox="1"/>
        </xdr:nvSpPr>
        <xdr:spPr>
          <a:xfrm>
            <a:off x="9872382" y="106456"/>
            <a:ext cx="1568823" cy="818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solidFill>
                <a:effectLst/>
                <a:latin typeface="PT Sans Narrow" panose="020B0506020203020204" pitchFamily="34" charset="0"/>
                <a:ea typeface="+mn-ea"/>
                <a:cs typeface="+mn-cs"/>
              </a:rPr>
              <a:t>DESPIECE</a:t>
            </a:r>
            <a:endParaRPr lang="es-CO" sz="1400" b="1" i="0" baseline="0">
              <a:solidFill>
                <a:schemeClr val="bg1"/>
              </a:solidFill>
              <a:effectLst/>
              <a:latin typeface="PT Sans Narrow" panose="020B0506020203020204" pitchFamily="34" charset="0"/>
              <a:ea typeface="+mn-ea"/>
              <a:cs typeface="+mn-cs"/>
            </a:endParaRPr>
          </a:p>
          <a:p>
            <a:pPr algn="ctr"/>
            <a:r>
              <a:rPr lang="es-CO" sz="1400" b="1" i="0" baseline="0">
                <a:solidFill>
                  <a:schemeClr val="bg1"/>
                </a:solidFill>
                <a:effectLst/>
                <a:latin typeface="PT Sans Narrow" panose="020B0506020203020204" pitchFamily="34" charset="0"/>
                <a:ea typeface="+mn-ea"/>
                <a:cs typeface="+mn-cs"/>
              </a:rPr>
              <a:t>DE</a:t>
            </a:r>
          </a:p>
          <a:p>
            <a:pPr algn="ctr"/>
            <a:r>
              <a:rPr lang="es-CO" sz="1400" b="1" i="0" baseline="0">
                <a:solidFill>
                  <a:schemeClr val="bg1"/>
                </a:solidFill>
                <a:effectLst/>
                <a:latin typeface="PT Sans Narrow" panose="020B0506020203020204" pitchFamily="34" charset="0"/>
                <a:ea typeface="+mn-ea"/>
                <a:cs typeface="+mn-cs"/>
              </a:rPr>
              <a:t>MATERIAL</a:t>
            </a:r>
            <a:endParaRPr lang="es-CO" sz="1400" b="1">
              <a:solidFill>
                <a:schemeClr val="bg1"/>
              </a:solidFill>
              <a:latin typeface="PT Sans Narrow" panose="020B0506020203020204" pitchFamily="34" charset="0"/>
            </a:endParaRPr>
          </a:p>
        </xdr:txBody>
      </xdr:sp>
    </xdr:grpSp>
    <xdr:clientData/>
  </xdr:twoCellAnchor>
  <xdr:twoCellAnchor editAs="absolute">
    <xdr:from>
      <xdr:col>10</xdr:col>
      <xdr:colOff>572123</xdr:colOff>
      <xdr:row>0</xdr:row>
      <xdr:rowOff>21166</xdr:rowOff>
    </xdr:from>
    <xdr:to>
      <xdr:col>13</xdr:col>
      <xdr:colOff>171499</xdr:colOff>
      <xdr:row>5</xdr:row>
      <xdr:rowOff>31747</xdr:rowOff>
    </xdr:to>
    <xdr:grpSp>
      <xdr:nvGrpSpPr>
        <xdr:cNvPr id="9" name="FL">
          <a:extLst>
            <a:ext uri="{FF2B5EF4-FFF2-40B4-BE49-F238E27FC236}">
              <a16:creationId xmlns:a16="http://schemas.microsoft.com/office/drawing/2014/main" id="{00000000-0008-0000-0700-000009000000}"/>
            </a:ext>
          </a:extLst>
        </xdr:cNvPr>
        <xdr:cNvGrpSpPr>
          <a:grpSpLocks noChangeAspect="1"/>
        </xdr:cNvGrpSpPr>
      </xdr:nvGrpSpPr>
      <xdr:grpSpPr>
        <a:xfrm>
          <a:off x="8192123" y="21166"/>
          <a:ext cx="1885376" cy="963081"/>
          <a:chOff x="8192123" y="21166"/>
          <a:chExt cx="1885376" cy="963081"/>
        </a:xfrm>
      </xdr:grpSpPr>
      <xdr:sp macro="FL" textlink="">
        <xdr:nvSpPr>
          <xdr:cNvPr id="10" name="Pestaña FL">
            <a:extLst>
              <a:ext uri="{FF2B5EF4-FFF2-40B4-BE49-F238E27FC236}">
                <a16:creationId xmlns:a16="http://schemas.microsoft.com/office/drawing/2014/main" id="{00000000-0008-0000-0700-00000A000000}"/>
              </a:ext>
            </a:extLst>
          </xdr:cNvPr>
          <xdr:cNvSpPr/>
        </xdr:nvSpPr>
        <xdr:spPr>
          <a:xfrm flipH="1">
            <a:off x="8192123"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rgbClr val="2B2B62"/>
          </a:solidFill>
          <a:ln w="25400" cap="flat" cmpd="sng" algn="ctr">
            <a:solidFill>
              <a:schemeClr val="bg1">
                <a:lumMod val="100000"/>
              </a:schemeClr>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FL" textlink="">
        <xdr:nvSpPr>
          <xdr:cNvPr id="11" name="Texto FL">
            <a:extLst>
              <a:ext uri="{FF2B5EF4-FFF2-40B4-BE49-F238E27FC236}">
                <a16:creationId xmlns:a16="http://schemas.microsoft.com/office/drawing/2014/main" id="{00000000-0008-0000-0700-00000B000000}"/>
              </a:ext>
            </a:extLst>
          </xdr:cNvPr>
          <xdr:cNvSpPr txBox="1"/>
        </xdr:nvSpPr>
        <xdr:spPr>
          <a:xfrm>
            <a:off x="8303559"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lumMod val="100000"/>
                  </a:schemeClr>
                </a:solidFill>
                <a:effectLst/>
                <a:latin typeface="PT Sans Narrow" panose="020B0506020203020204" pitchFamily="34" charset="0"/>
                <a:ea typeface="+mn-ea"/>
                <a:cs typeface="+mn-cs"/>
              </a:rPr>
              <a:t> FLOTACIÓN</a:t>
            </a:r>
            <a:endParaRPr lang="es-CO" sz="1400" b="1">
              <a:solidFill>
                <a:schemeClr val="bg1">
                  <a:lumMod val="100000"/>
                </a:schemeClr>
              </a:solidFill>
              <a:latin typeface="PT Sans Narrow" panose="020B0506020203020204" pitchFamily="34" charset="0"/>
            </a:endParaRPr>
          </a:p>
        </xdr:txBody>
      </xdr:sp>
    </xdr:grpSp>
    <xdr:clientData/>
  </xdr:twoCellAnchor>
  <xdr:twoCellAnchor editAs="absolute">
    <xdr:from>
      <xdr:col>6</xdr:col>
      <xdr:colOff>592668</xdr:colOff>
      <xdr:row>0</xdr:row>
      <xdr:rowOff>21166</xdr:rowOff>
    </xdr:from>
    <xdr:to>
      <xdr:col>9</xdr:col>
      <xdr:colOff>192044</xdr:colOff>
      <xdr:row>5</xdr:row>
      <xdr:rowOff>31747</xdr:rowOff>
    </xdr:to>
    <xdr:grpSp>
      <xdr:nvGrpSpPr>
        <xdr:cNvPr id="35" name="TDV">
          <a:extLst>
            <a:ext uri="{FF2B5EF4-FFF2-40B4-BE49-F238E27FC236}">
              <a16:creationId xmlns:a16="http://schemas.microsoft.com/office/drawing/2014/main" id="{00000000-0008-0000-0700-000023000000}"/>
            </a:ext>
          </a:extLst>
        </xdr:cNvPr>
        <xdr:cNvGrpSpPr>
          <a:grpSpLocks noChangeAspect="1"/>
        </xdr:cNvGrpSpPr>
      </xdr:nvGrpSpPr>
      <xdr:grpSpPr>
        <a:xfrm>
          <a:off x="5164668" y="21166"/>
          <a:ext cx="1885376" cy="963081"/>
          <a:chOff x="5164668" y="21166"/>
          <a:chExt cx="1885376" cy="963081"/>
        </a:xfrm>
      </xdr:grpSpPr>
      <xdr:sp macro="TDV" textlink="">
        <xdr:nvSpPr>
          <xdr:cNvPr id="36" name="Pestaña TDV">
            <a:extLst>
              <a:ext uri="{FF2B5EF4-FFF2-40B4-BE49-F238E27FC236}">
                <a16:creationId xmlns:a16="http://schemas.microsoft.com/office/drawing/2014/main" id="{00000000-0008-0000-0700-000024000000}"/>
              </a:ext>
            </a:extLst>
          </xdr:cNvPr>
          <xdr:cNvSpPr/>
        </xdr:nvSpPr>
        <xdr:spPr>
          <a:xfrm flipH="1">
            <a:off x="5164668"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rgbClr val="2B2B62"/>
          </a:solidFill>
          <a:ln w="25400" cap="flat" cmpd="sng" algn="ctr">
            <a:solidFill>
              <a:schemeClr val="bg1">
                <a:lumMod val="100000"/>
              </a:schemeClr>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TDV" textlink="">
        <xdr:nvSpPr>
          <xdr:cNvPr id="37" name="Texto TDV">
            <a:extLst>
              <a:ext uri="{FF2B5EF4-FFF2-40B4-BE49-F238E27FC236}">
                <a16:creationId xmlns:a16="http://schemas.microsoft.com/office/drawing/2014/main" id="{00000000-0008-0000-0700-000025000000}"/>
              </a:ext>
            </a:extLst>
          </xdr:cNvPr>
          <xdr:cNvSpPr txBox="1"/>
        </xdr:nvSpPr>
        <xdr:spPr>
          <a:xfrm>
            <a:off x="5311589" y="106456"/>
            <a:ext cx="1568823" cy="818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lumMod val="100000"/>
                  </a:schemeClr>
                </a:solidFill>
                <a:effectLst/>
                <a:latin typeface="PT Sans Narrow" panose="020B0506020203020204" pitchFamily="34" charset="0"/>
                <a:ea typeface="+mn-ea"/>
                <a:cs typeface="+mn-cs"/>
              </a:rPr>
              <a:t>TIEMPO</a:t>
            </a:r>
            <a:endParaRPr lang="es-CO" sz="1400" b="1" i="0" baseline="0">
              <a:solidFill>
                <a:schemeClr val="bg1">
                  <a:lumMod val="100000"/>
                </a:schemeClr>
              </a:solidFill>
              <a:effectLst/>
              <a:latin typeface="PT Sans Narrow" panose="020B0506020203020204" pitchFamily="34" charset="0"/>
              <a:ea typeface="+mn-ea"/>
              <a:cs typeface="+mn-cs"/>
            </a:endParaRPr>
          </a:p>
          <a:p>
            <a:pPr algn="ctr"/>
            <a:r>
              <a:rPr lang="es-CO" sz="1400" b="1" i="0" baseline="0">
                <a:solidFill>
                  <a:schemeClr val="bg1">
                    <a:lumMod val="100000"/>
                  </a:schemeClr>
                </a:solidFill>
                <a:effectLst/>
                <a:latin typeface="PT Sans Narrow" panose="020B0506020203020204" pitchFamily="34" charset="0"/>
                <a:ea typeface="+mn-ea"/>
                <a:cs typeface="+mn-cs"/>
              </a:rPr>
              <a:t>DE</a:t>
            </a:r>
          </a:p>
          <a:p>
            <a:pPr algn="ctr"/>
            <a:r>
              <a:rPr lang="es-CO" sz="1400" b="1" i="0" baseline="0">
                <a:solidFill>
                  <a:schemeClr val="bg1">
                    <a:lumMod val="100000"/>
                  </a:schemeClr>
                </a:solidFill>
                <a:effectLst/>
                <a:latin typeface="PT Sans Narrow" panose="020B0506020203020204" pitchFamily="34" charset="0"/>
                <a:ea typeface="+mn-ea"/>
                <a:cs typeface="+mn-cs"/>
              </a:rPr>
              <a:t>VACIADO</a:t>
            </a:r>
            <a:endParaRPr lang="es-CO" sz="1400" b="1">
              <a:solidFill>
                <a:schemeClr val="bg1">
                  <a:lumMod val="100000"/>
                </a:schemeClr>
              </a:solidFill>
              <a:latin typeface="PT Sans Narrow" panose="020B0506020203020204" pitchFamily="34" charset="0"/>
            </a:endParaRPr>
          </a:p>
        </xdr:txBody>
      </xdr:sp>
    </xdr:grpSp>
    <xdr:clientData/>
  </xdr:twoCellAnchor>
  <xdr:twoCellAnchor editAs="absolute">
    <xdr:from>
      <xdr:col>4</xdr:col>
      <xdr:colOff>705970</xdr:colOff>
      <xdr:row>0</xdr:row>
      <xdr:rowOff>21167</xdr:rowOff>
    </xdr:from>
    <xdr:to>
      <xdr:col>7</xdr:col>
      <xdr:colOff>285749</xdr:colOff>
      <xdr:row>5</xdr:row>
      <xdr:rowOff>44825</xdr:rowOff>
    </xdr:to>
    <xdr:grpSp>
      <xdr:nvGrpSpPr>
        <xdr:cNvPr id="41" name="D">
          <a:extLst>
            <a:ext uri="{FF2B5EF4-FFF2-40B4-BE49-F238E27FC236}">
              <a16:creationId xmlns:a16="http://schemas.microsoft.com/office/drawing/2014/main" id="{00000000-0008-0000-0700-000029000000}"/>
            </a:ext>
          </a:extLst>
        </xdr:cNvPr>
        <xdr:cNvGrpSpPr>
          <a:grpSpLocks noChangeAspect="1"/>
        </xdr:cNvGrpSpPr>
      </xdr:nvGrpSpPr>
      <xdr:grpSpPr>
        <a:xfrm>
          <a:off x="3753970" y="21167"/>
          <a:ext cx="1865779" cy="976158"/>
          <a:chOff x="3753970" y="21167"/>
          <a:chExt cx="1865779" cy="976158"/>
        </a:xfrm>
      </xdr:grpSpPr>
      <xdr:sp macro="[0]!D" textlink="">
        <xdr:nvSpPr>
          <xdr:cNvPr id="39" name="Pestaña D">
            <a:extLst>
              <a:ext uri="{FF2B5EF4-FFF2-40B4-BE49-F238E27FC236}">
                <a16:creationId xmlns:a16="http://schemas.microsoft.com/office/drawing/2014/main" id="{00000000-0008-0000-0700-000027000000}"/>
              </a:ext>
            </a:extLst>
          </xdr:cNvPr>
          <xdr:cNvSpPr/>
        </xdr:nvSpPr>
        <xdr:spPr>
          <a:xfrm>
            <a:off x="3810000" y="21167"/>
            <a:ext cx="1809749" cy="976158"/>
          </a:xfrm>
          <a:custGeom>
            <a:avLst/>
            <a:gdLst>
              <a:gd name="connsiteX0" fmla="*/ 289766 w 1739654"/>
              <a:gd name="connsiteY0" fmla="*/ 0 h 857912"/>
              <a:gd name="connsiteX1" fmla="*/ 1153172 w 1739654"/>
              <a:gd name="connsiteY1" fmla="*/ 0 h 857912"/>
              <a:gd name="connsiteX2" fmla="*/ 1171726 w 1739654"/>
              <a:gd name="connsiteY2" fmla="*/ 1871 h 857912"/>
              <a:gd name="connsiteX3" fmla="*/ 1448928 w 1739654"/>
              <a:gd name="connsiteY3" fmla="*/ 279073 h 857912"/>
              <a:gd name="connsiteX4" fmla="*/ 1449888 w 1739654"/>
              <a:gd name="connsiteY4" fmla="*/ 288599 h 857912"/>
              <a:gd name="connsiteX5" fmla="*/ 1449888 w 1739654"/>
              <a:gd name="connsiteY5" fmla="*/ 568146 h 857912"/>
              <a:gd name="connsiteX6" fmla="*/ 1739654 w 1739654"/>
              <a:gd name="connsiteY6" fmla="*/ 857912 h 857912"/>
              <a:gd name="connsiteX7" fmla="*/ 352308 w 1739654"/>
              <a:gd name="connsiteY7" fmla="*/ 857912 h 857912"/>
              <a:gd name="connsiteX8" fmla="*/ 0 w 1739654"/>
              <a:gd name="connsiteY8" fmla="*/ 857912 h 857912"/>
              <a:gd name="connsiteX9" fmla="*/ 0 w 1739654"/>
              <a:gd name="connsiteY9" fmla="*/ 289766 h 857912"/>
              <a:gd name="connsiteX10" fmla="*/ 289766 w 1739654"/>
              <a:gd name="connsiteY10" fmla="*/ 0 h 857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39654" h="857912">
                <a:moveTo>
                  <a:pt x="289766" y="0"/>
                </a:moveTo>
                <a:lnTo>
                  <a:pt x="1153172" y="0"/>
                </a:lnTo>
                <a:lnTo>
                  <a:pt x="1171726" y="1871"/>
                </a:lnTo>
                <a:cubicBezTo>
                  <a:pt x="1310865" y="30343"/>
                  <a:pt x="1420456" y="139933"/>
                  <a:pt x="1448928" y="279073"/>
                </a:cubicBezTo>
                <a:lnTo>
                  <a:pt x="1449888" y="288599"/>
                </a:lnTo>
                <a:lnTo>
                  <a:pt x="1449888" y="568146"/>
                </a:lnTo>
                <a:cubicBezTo>
                  <a:pt x="1449888" y="728179"/>
                  <a:pt x="1579621" y="857912"/>
                  <a:pt x="1739654" y="857912"/>
                </a:cubicBezTo>
                <a:lnTo>
                  <a:pt x="352308" y="857912"/>
                </a:lnTo>
                <a:lnTo>
                  <a:pt x="0" y="857912"/>
                </a:lnTo>
                <a:lnTo>
                  <a:pt x="0" y="289766"/>
                </a:lnTo>
                <a:cubicBezTo>
                  <a:pt x="0" y="129733"/>
                  <a:pt x="129733" y="0"/>
                  <a:pt x="289766" y="0"/>
                </a:cubicBezTo>
                <a:close/>
              </a:path>
            </a:pathLst>
          </a:custGeom>
          <a:solidFill>
            <a:srgbClr val="2B2B6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0]!D" textlink="">
        <xdr:nvSpPr>
          <xdr:cNvPr id="40" name="Texto D">
            <a:extLst>
              <a:ext uri="{FF2B5EF4-FFF2-40B4-BE49-F238E27FC236}">
                <a16:creationId xmlns:a16="http://schemas.microsoft.com/office/drawing/2014/main" id="{00000000-0008-0000-0700-000028000000}"/>
              </a:ext>
            </a:extLst>
          </xdr:cNvPr>
          <xdr:cNvSpPr txBox="1"/>
        </xdr:nvSpPr>
        <xdr:spPr>
          <a:xfrm>
            <a:off x="3753970"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solidFill>
                <a:effectLst/>
                <a:latin typeface="PT Sans Narrow" panose="020B0506020203020204" pitchFamily="34" charset="0"/>
                <a:ea typeface="+mn-ea"/>
                <a:cs typeface="+mn-cs"/>
              </a:rPr>
              <a:t>DIMENSIONAMIENTO</a:t>
            </a:r>
            <a:endParaRPr lang="es-CO" sz="1400" b="1">
              <a:solidFill>
                <a:schemeClr val="bg1"/>
              </a:solidFill>
              <a:latin typeface="PT Sans Narrow" panose="020B0506020203020204" pitchFamily="34" charset="0"/>
            </a:endParaRPr>
          </a:p>
        </xdr:txBody>
      </xdr:sp>
    </xdr:grpSp>
    <xdr:clientData/>
  </xdr:twoCellAnchor>
  <xdr:twoCellAnchor editAs="absolute">
    <xdr:from>
      <xdr:col>6</xdr:col>
      <xdr:colOff>730249</xdr:colOff>
      <xdr:row>61</xdr:row>
      <xdr:rowOff>171979</xdr:rowOff>
    </xdr:from>
    <xdr:to>
      <xdr:col>13</xdr:col>
      <xdr:colOff>220249</xdr:colOff>
      <xdr:row>80</xdr:row>
      <xdr:rowOff>171802</xdr:rowOff>
    </xdr:to>
    <xdr:pic>
      <xdr:nvPicPr>
        <xdr:cNvPr id="15" name="Imagen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302249" y="18840979"/>
          <a:ext cx="4824000" cy="3618000"/>
        </a:xfrm>
        <a:prstGeom prst="rect">
          <a:avLst/>
        </a:prstGeom>
      </xdr:spPr>
    </xdr:pic>
    <xdr:clientData/>
  </xdr:twoCellAnchor>
  <xdr:twoCellAnchor editAs="absolute">
    <xdr:from>
      <xdr:col>6</xdr:col>
      <xdr:colOff>730249</xdr:colOff>
      <xdr:row>84</xdr:row>
      <xdr:rowOff>190499</xdr:rowOff>
    </xdr:from>
    <xdr:to>
      <xdr:col>13</xdr:col>
      <xdr:colOff>220249</xdr:colOff>
      <xdr:row>103</xdr:row>
      <xdr:rowOff>188999</xdr:rowOff>
    </xdr:to>
    <xdr:pic>
      <xdr:nvPicPr>
        <xdr:cNvPr id="38" name="Imagen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302249" y="16192499"/>
          <a:ext cx="4824000" cy="3618000"/>
        </a:xfrm>
        <a:prstGeom prst="rect">
          <a:avLst/>
        </a:prstGeom>
      </xdr:spPr>
    </xdr:pic>
    <xdr:clientData/>
  </xdr:twoCellAnchor>
  <xdr:twoCellAnchor editAs="absolute">
    <xdr:from>
      <xdr:col>12</xdr:col>
      <xdr:colOff>209638</xdr:colOff>
      <xdr:row>20</xdr:row>
      <xdr:rowOff>42335</xdr:rowOff>
    </xdr:from>
    <xdr:to>
      <xdr:col>14</xdr:col>
      <xdr:colOff>592666</xdr:colOff>
      <xdr:row>24</xdr:row>
      <xdr:rowOff>158754</xdr:rowOff>
    </xdr:to>
    <xdr:grpSp>
      <xdr:nvGrpSpPr>
        <xdr:cNvPr id="56" name="Boton Tablas">
          <a:extLst>
            <a:ext uri="{FF2B5EF4-FFF2-40B4-BE49-F238E27FC236}">
              <a16:creationId xmlns:a16="http://schemas.microsoft.com/office/drawing/2014/main" id="{00000000-0008-0000-0700-000038000000}"/>
            </a:ext>
          </a:extLst>
        </xdr:cNvPr>
        <xdr:cNvGrpSpPr>
          <a:grpSpLocks noChangeAspect="1"/>
        </xdr:cNvGrpSpPr>
      </xdr:nvGrpSpPr>
      <xdr:grpSpPr>
        <a:xfrm rot="5400000">
          <a:off x="9867942" y="3338031"/>
          <a:ext cx="878419" cy="1907028"/>
          <a:chOff x="1807006" y="1248832"/>
          <a:chExt cx="896222" cy="1397001"/>
        </a:xfrm>
      </xdr:grpSpPr>
      <xdr:sp macro="[0]!TABLAS_INF" textlink="">
        <xdr:nvSpPr>
          <xdr:cNvPr id="57" name="Octágono 56">
            <a:extLst>
              <a:ext uri="{FF2B5EF4-FFF2-40B4-BE49-F238E27FC236}">
                <a16:creationId xmlns:a16="http://schemas.microsoft.com/office/drawing/2014/main" id="{00000000-0008-0000-0700-000039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TABLAS_INF" textlink="">
        <xdr:nvSpPr>
          <xdr:cNvPr id="58" name="CuadroTexto 57">
            <a:extLst>
              <a:ext uri="{FF2B5EF4-FFF2-40B4-BE49-F238E27FC236}">
                <a16:creationId xmlns:a16="http://schemas.microsoft.com/office/drawing/2014/main" id="{00000000-0008-0000-0700-00003A000000}"/>
              </a:ext>
            </a:extLst>
          </xdr:cNvPr>
          <xdr:cNvSpPr txBox="1"/>
        </xdr:nvSpPr>
        <xdr:spPr>
          <a:xfrm rot="16200000">
            <a:off x="1624662" y="1509383"/>
            <a:ext cx="1260910" cy="896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solidFill>
                  <a:sysClr val="windowText" lastClr="000000"/>
                </a:solidFill>
                <a:latin typeface="PT Sans Narrow" panose="020B0506020203020204" pitchFamily="34" charset="0"/>
              </a:rPr>
              <a:t>Para más información sobre los coeficientes de infiltración y los factores de seguridad.</a:t>
            </a:r>
            <a:r>
              <a:rPr lang="es-CO" sz="1100" b="1" baseline="0">
                <a:solidFill>
                  <a:sysClr val="windowText" lastClr="000000"/>
                </a:solidFill>
                <a:latin typeface="PT Sans Narrow" panose="020B0506020203020204" pitchFamily="34" charset="0"/>
              </a:rPr>
              <a:t> Da clic acá.</a:t>
            </a:r>
            <a:endParaRPr lang="es-CO" sz="1100" b="1">
              <a:solidFill>
                <a:sysClr val="windowText" lastClr="000000"/>
              </a:solidFill>
              <a:latin typeface="PT Sans Narrow" panose="020B0506020203020204" pitchFamily="34" charset="0"/>
            </a:endParaRPr>
          </a:p>
        </xdr:txBody>
      </xdr:sp>
    </xdr:grpSp>
    <xdr:clientData/>
  </xdr:twoCellAnchor>
  <xdr:twoCellAnchor editAs="absolute">
    <xdr:from>
      <xdr:col>8</xdr:col>
      <xdr:colOff>582088</xdr:colOff>
      <xdr:row>0</xdr:row>
      <xdr:rowOff>21166</xdr:rowOff>
    </xdr:from>
    <xdr:to>
      <xdr:col>11</xdr:col>
      <xdr:colOff>181464</xdr:colOff>
      <xdr:row>5</xdr:row>
      <xdr:rowOff>31747</xdr:rowOff>
    </xdr:to>
    <xdr:grpSp>
      <xdr:nvGrpSpPr>
        <xdr:cNvPr id="13" name="INF">
          <a:extLst>
            <a:ext uri="{FF2B5EF4-FFF2-40B4-BE49-F238E27FC236}">
              <a16:creationId xmlns:a16="http://schemas.microsoft.com/office/drawing/2014/main" id="{00000000-0008-0000-0700-00000D000000}"/>
            </a:ext>
          </a:extLst>
        </xdr:cNvPr>
        <xdr:cNvGrpSpPr>
          <a:grpSpLocks noChangeAspect="1"/>
        </xdr:cNvGrpSpPr>
      </xdr:nvGrpSpPr>
      <xdr:grpSpPr>
        <a:xfrm>
          <a:off x="6678088" y="21166"/>
          <a:ext cx="1885376" cy="963081"/>
          <a:chOff x="6678088" y="21166"/>
          <a:chExt cx="1885376" cy="963081"/>
        </a:xfrm>
      </xdr:grpSpPr>
      <xdr:sp macro="[0]!INF" textlink="">
        <xdr:nvSpPr>
          <xdr:cNvPr id="33" name="Pestaña INF">
            <a:extLst>
              <a:ext uri="{FF2B5EF4-FFF2-40B4-BE49-F238E27FC236}">
                <a16:creationId xmlns:a16="http://schemas.microsoft.com/office/drawing/2014/main" id="{00000000-0008-0000-0700-000021000000}"/>
              </a:ext>
            </a:extLst>
          </xdr:cNvPr>
          <xdr:cNvSpPr/>
        </xdr:nvSpPr>
        <xdr:spPr>
          <a:xfrm flipH="1">
            <a:off x="6678088"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chemeClr val="bg1"/>
          </a:solidFill>
          <a:ln w="25400" cap="flat" cmpd="sng" algn="ctr">
            <a:solidFill>
              <a:schemeClr val="bg1">
                <a:lumMod val="100000"/>
              </a:schemeClr>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0]!INF" textlink="">
        <xdr:nvSpPr>
          <xdr:cNvPr id="34" name="Texto INF">
            <a:extLst>
              <a:ext uri="{FF2B5EF4-FFF2-40B4-BE49-F238E27FC236}">
                <a16:creationId xmlns:a16="http://schemas.microsoft.com/office/drawing/2014/main" id="{00000000-0008-0000-0700-000022000000}"/>
              </a:ext>
            </a:extLst>
          </xdr:cNvPr>
          <xdr:cNvSpPr txBox="1"/>
        </xdr:nvSpPr>
        <xdr:spPr>
          <a:xfrm>
            <a:off x="6808693"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rgbClr val="00B050"/>
                </a:solidFill>
                <a:effectLst/>
                <a:latin typeface="PT Sans Narrow" panose="020B0506020203020204" pitchFamily="34" charset="0"/>
                <a:ea typeface="+mn-ea"/>
                <a:cs typeface="+mn-cs"/>
              </a:rPr>
              <a:t> INFILTRACIÓN</a:t>
            </a:r>
            <a:endParaRPr lang="es-CO" sz="1400" b="1">
              <a:solidFill>
                <a:srgbClr val="00B050"/>
              </a:solidFill>
              <a:latin typeface="PT Sans Narrow" panose="020B0506020203020204" pitchFamily="34" charset="0"/>
            </a:endParaRPr>
          </a:p>
        </xdr:txBody>
      </xdr:sp>
    </xdr:grpSp>
    <xdr:clientData/>
  </xdr:twoCellAnchor>
  <xdr:twoCellAnchor editAs="absolute">
    <xdr:from>
      <xdr:col>17</xdr:col>
      <xdr:colOff>35720</xdr:colOff>
      <xdr:row>97</xdr:row>
      <xdr:rowOff>145524</xdr:rowOff>
    </xdr:from>
    <xdr:to>
      <xdr:col>17</xdr:col>
      <xdr:colOff>978502</xdr:colOff>
      <xdr:row>104</xdr:row>
      <xdr:rowOff>11996</xdr:rowOff>
    </xdr:to>
    <xdr:grpSp>
      <xdr:nvGrpSpPr>
        <xdr:cNvPr id="59" name="Boton Datos de Proy Down">
          <a:extLst>
            <a:ext uri="{FF2B5EF4-FFF2-40B4-BE49-F238E27FC236}">
              <a16:creationId xmlns:a16="http://schemas.microsoft.com/office/drawing/2014/main" id="{00000000-0008-0000-0700-00003B000000}"/>
            </a:ext>
          </a:extLst>
        </xdr:cNvPr>
        <xdr:cNvGrpSpPr>
          <a:grpSpLocks noChangeAspect="1"/>
        </xdr:cNvGrpSpPr>
      </xdr:nvGrpSpPr>
      <xdr:grpSpPr>
        <a:xfrm>
          <a:off x="12989720" y="18624024"/>
          <a:ext cx="942782" cy="1199972"/>
          <a:chOff x="1725407" y="1124918"/>
          <a:chExt cx="1048614" cy="1520915"/>
        </a:xfrm>
      </xdr:grpSpPr>
      <xdr:sp macro="[0]!Volver_Datos_Proy" textlink="">
        <xdr:nvSpPr>
          <xdr:cNvPr id="60" name="Octágono 59">
            <a:extLst>
              <a:ext uri="{FF2B5EF4-FFF2-40B4-BE49-F238E27FC236}">
                <a16:creationId xmlns:a16="http://schemas.microsoft.com/office/drawing/2014/main" id="{00000000-0008-0000-0700-00003C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Volver_Datos_Proy" textlink="">
        <xdr:nvSpPr>
          <xdr:cNvPr id="61" name="CuadroTexto 60">
            <a:extLst>
              <a:ext uri="{FF2B5EF4-FFF2-40B4-BE49-F238E27FC236}">
                <a16:creationId xmlns:a16="http://schemas.microsoft.com/office/drawing/2014/main" id="{00000000-0008-0000-0700-00003D000000}"/>
              </a:ext>
            </a:extLst>
          </xdr:cNvPr>
          <xdr:cNvSpPr txBox="1"/>
        </xdr:nvSpPr>
        <xdr:spPr>
          <a:xfrm>
            <a:off x="1725407" y="1124918"/>
            <a:ext cx="1048614" cy="1021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DATOS DE PROYECTO</a:t>
            </a:r>
          </a:p>
        </xdr:txBody>
      </xdr:sp>
      <xdr:pic macro="[0]!Volver_Datos_Proy">
        <xdr:nvPicPr>
          <xdr:cNvPr id="62" name="Imagen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twoCellAnchor editAs="absolute">
    <xdr:from>
      <xdr:col>17</xdr:col>
      <xdr:colOff>35718</xdr:colOff>
      <xdr:row>21</xdr:row>
      <xdr:rowOff>107158</xdr:rowOff>
    </xdr:from>
    <xdr:to>
      <xdr:col>17</xdr:col>
      <xdr:colOff>978500</xdr:colOff>
      <xdr:row>27</xdr:row>
      <xdr:rowOff>164130</xdr:rowOff>
    </xdr:to>
    <xdr:grpSp>
      <xdr:nvGrpSpPr>
        <xdr:cNvPr id="63" name="Boton Datos de Proy Up">
          <a:extLst>
            <a:ext uri="{FF2B5EF4-FFF2-40B4-BE49-F238E27FC236}">
              <a16:creationId xmlns:a16="http://schemas.microsoft.com/office/drawing/2014/main" id="{00000000-0008-0000-0700-00003F000000}"/>
            </a:ext>
          </a:extLst>
        </xdr:cNvPr>
        <xdr:cNvGrpSpPr>
          <a:grpSpLocks noChangeAspect="1"/>
        </xdr:cNvGrpSpPr>
      </xdr:nvGrpSpPr>
      <xdr:grpSpPr>
        <a:xfrm>
          <a:off x="12989718" y="4107658"/>
          <a:ext cx="942782" cy="1199972"/>
          <a:chOff x="1725407" y="1124918"/>
          <a:chExt cx="1048614" cy="1520915"/>
        </a:xfrm>
      </xdr:grpSpPr>
      <xdr:sp macro="[0]!Volver_Datos_Proy" textlink="">
        <xdr:nvSpPr>
          <xdr:cNvPr id="64" name="Octágono 63">
            <a:extLst>
              <a:ext uri="{FF2B5EF4-FFF2-40B4-BE49-F238E27FC236}">
                <a16:creationId xmlns:a16="http://schemas.microsoft.com/office/drawing/2014/main" id="{00000000-0008-0000-0700-000040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Volver_Datos_Proy" textlink="">
        <xdr:nvSpPr>
          <xdr:cNvPr id="65" name="CuadroTexto 64">
            <a:extLst>
              <a:ext uri="{FF2B5EF4-FFF2-40B4-BE49-F238E27FC236}">
                <a16:creationId xmlns:a16="http://schemas.microsoft.com/office/drawing/2014/main" id="{00000000-0008-0000-0700-000041000000}"/>
              </a:ext>
            </a:extLst>
          </xdr:cNvPr>
          <xdr:cNvSpPr txBox="1"/>
        </xdr:nvSpPr>
        <xdr:spPr>
          <a:xfrm>
            <a:off x="1725407" y="1124918"/>
            <a:ext cx="1048614" cy="1021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DATOS DE PROYECTO</a:t>
            </a:r>
          </a:p>
        </xdr:txBody>
      </xdr:sp>
      <xdr:pic macro="[0]!Volver_Datos_Proy">
        <xdr:nvPicPr>
          <xdr:cNvPr id="66" name="Imagen 65">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twoCellAnchor editAs="absolute">
    <xdr:from>
      <xdr:col>5</xdr:col>
      <xdr:colOff>0</xdr:colOff>
      <xdr:row>105</xdr:row>
      <xdr:rowOff>47622</xdr:rowOff>
    </xdr:from>
    <xdr:to>
      <xdr:col>8</xdr:col>
      <xdr:colOff>419288</xdr:colOff>
      <xdr:row>108</xdr:row>
      <xdr:rowOff>170887</xdr:rowOff>
    </xdr:to>
    <xdr:sp macro="" textlink="">
      <xdr:nvSpPr>
        <xdr:cNvPr id="14" name="Marcador de texto 2">
          <a:extLst>
            <a:ext uri="{FF2B5EF4-FFF2-40B4-BE49-F238E27FC236}">
              <a16:creationId xmlns:a16="http://schemas.microsoft.com/office/drawing/2014/main" id="{00000000-0008-0000-0700-00000E000000}"/>
            </a:ext>
          </a:extLst>
        </xdr:cNvPr>
        <xdr:cNvSpPr>
          <a:spLocks noGrp="1" noChangeAspect="1"/>
        </xdr:cNvSpPr>
      </xdr:nvSpPr>
      <xdr:spPr>
        <a:xfrm flipH="1" flipV="1">
          <a:off x="3810000" y="20050122"/>
          <a:ext cx="2705288" cy="694765"/>
        </a:xfrm>
        <a:prstGeom prst="rect">
          <a:avLst/>
        </a:prstGeom>
        <a:blipFill>
          <a:blip xmlns:r="http://schemas.openxmlformats.org/officeDocument/2006/relationships" r:embed="rId11"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8</xdr:col>
      <xdr:colOff>408081</xdr:colOff>
      <xdr:row>105</xdr:row>
      <xdr:rowOff>47622</xdr:rowOff>
    </xdr:from>
    <xdr:to>
      <xdr:col>11</xdr:col>
      <xdr:colOff>598582</xdr:colOff>
      <xdr:row>108</xdr:row>
      <xdr:rowOff>170887</xdr:rowOff>
    </xdr:to>
    <xdr:sp macro="" textlink="">
      <xdr:nvSpPr>
        <xdr:cNvPr id="19" name="Marcador de texto 2">
          <a:extLst>
            <a:ext uri="{FF2B5EF4-FFF2-40B4-BE49-F238E27FC236}">
              <a16:creationId xmlns:a16="http://schemas.microsoft.com/office/drawing/2014/main" id="{00000000-0008-0000-0700-000013000000}"/>
            </a:ext>
          </a:extLst>
        </xdr:cNvPr>
        <xdr:cNvSpPr>
          <a:spLocks noGrp="1" noChangeAspect="1"/>
        </xdr:cNvSpPr>
      </xdr:nvSpPr>
      <xdr:spPr>
        <a:xfrm>
          <a:off x="6504081" y="20050122"/>
          <a:ext cx="2476501" cy="694765"/>
        </a:xfrm>
        <a:prstGeom prst="rect">
          <a:avLst/>
        </a:prstGeom>
        <a:blipFill>
          <a:blip xmlns:r="http://schemas.openxmlformats.org/officeDocument/2006/relationships" r:embed="rId11"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13</xdr:col>
      <xdr:colOff>271744</xdr:colOff>
      <xdr:row>105</xdr:row>
      <xdr:rowOff>58205</xdr:rowOff>
    </xdr:from>
    <xdr:to>
      <xdr:col>14</xdr:col>
      <xdr:colOff>758267</xdr:colOff>
      <xdr:row>108</xdr:row>
      <xdr:rowOff>181470</xdr:rowOff>
    </xdr:to>
    <xdr:sp macro="" textlink="">
      <xdr:nvSpPr>
        <xdr:cNvPr id="20" name="Marcador de texto 2">
          <a:extLst>
            <a:ext uri="{FF2B5EF4-FFF2-40B4-BE49-F238E27FC236}">
              <a16:creationId xmlns:a16="http://schemas.microsoft.com/office/drawing/2014/main" id="{00000000-0008-0000-0700-000014000000}"/>
            </a:ext>
          </a:extLst>
        </xdr:cNvPr>
        <xdr:cNvSpPr>
          <a:spLocks noGrp="1" noChangeAspect="1"/>
        </xdr:cNvSpPr>
      </xdr:nvSpPr>
      <xdr:spPr>
        <a:xfrm flipV="1">
          <a:off x="10177744" y="20060705"/>
          <a:ext cx="1248523" cy="694765"/>
        </a:xfrm>
        <a:prstGeom prst="rect">
          <a:avLst/>
        </a:prstGeom>
        <a:blipFill>
          <a:blip xmlns:r="http://schemas.openxmlformats.org/officeDocument/2006/relationships" r:embed="rId11"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11</xdr:col>
      <xdr:colOff>444498</xdr:colOff>
      <xdr:row>105</xdr:row>
      <xdr:rowOff>58203</xdr:rowOff>
    </xdr:from>
    <xdr:to>
      <xdr:col>13</xdr:col>
      <xdr:colOff>275164</xdr:colOff>
      <xdr:row>108</xdr:row>
      <xdr:rowOff>181468</xdr:rowOff>
    </xdr:to>
    <xdr:sp macro="" textlink="">
      <xdr:nvSpPr>
        <xdr:cNvPr id="21" name="Marcador de texto 2">
          <a:extLst>
            <a:ext uri="{FF2B5EF4-FFF2-40B4-BE49-F238E27FC236}">
              <a16:creationId xmlns:a16="http://schemas.microsoft.com/office/drawing/2014/main" id="{00000000-0008-0000-0700-000015000000}"/>
            </a:ext>
          </a:extLst>
        </xdr:cNvPr>
        <xdr:cNvSpPr>
          <a:spLocks noGrp="1" noChangeAspect="1"/>
        </xdr:cNvSpPr>
      </xdr:nvSpPr>
      <xdr:spPr>
        <a:xfrm flipH="1" flipV="1">
          <a:off x="8826498" y="20060703"/>
          <a:ext cx="1354666" cy="694765"/>
        </a:xfrm>
        <a:prstGeom prst="rect">
          <a:avLst/>
        </a:prstGeom>
        <a:blipFill>
          <a:blip xmlns:r="http://schemas.openxmlformats.org/officeDocument/2006/relationships" r:embed="rId11" cstate="email">
            <a:extLst>
              <a:ext uri="{28A0092B-C50C-407E-A947-70E740481C1C}">
                <a14:useLocalDpi xmlns:a14="http://schemas.microsoft.com/office/drawing/2010/main"/>
              </a:ext>
            </a:extLst>
          </a:blip>
          <a:srcRect/>
          <a:stretch>
            <a:fillRect l="-8182" r="-91521"/>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4</xdr:col>
      <xdr:colOff>750794</xdr:colOff>
      <xdr:row>69</xdr:row>
      <xdr:rowOff>5597</xdr:rowOff>
    </xdr:from>
    <xdr:to>
      <xdr:col>15</xdr:col>
      <xdr:colOff>11206</xdr:colOff>
      <xdr:row>70</xdr:row>
      <xdr:rowOff>178594</xdr:rowOff>
    </xdr:to>
    <xdr:sp macro="" textlink="">
      <xdr:nvSpPr>
        <xdr:cNvPr id="10" name="Forma libre: forma 9">
          <a:extLst>
            <a:ext uri="{FF2B5EF4-FFF2-40B4-BE49-F238E27FC236}">
              <a16:creationId xmlns:a16="http://schemas.microsoft.com/office/drawing/2014/main" id="{00000000-0008-0000-0800-00000A000000}"/>
            </a:ext>
          </a:extLst>
        </xdr:cNvPr>
        <xdr:cNvSpPr>
          <a:spLocks noChangeAspect="1"/>
        </xdr:cNvSpPr>
      </xdr:nvSpPr>
      <xdr:spPr>
        <a:xfrm>
          <a:off x="3798794" y="13150097"/>
          <a:ext cx="7642412" cy="363497"/>
        </a:xfrm>
        <a:custGeom>
          <a:avLst/>
          <a:gdLst>
            <a:gd name="connsiteX0" fmla="*/ 0 w 6890994"/>
            <a:gd name="connsiteY0" fmla="*/ 0 h 363505"/>
            <a:gd name="connsiteX1" fmla="*/ 6890994 w 6890994"/>
            <a:gd name="connsiteY1" fmla="*/ 0 h 363505"/>
            <a:gd name="connsiteX2" fmla="*/ 6890994 w 6890994"/>
            <a:gd name="connsiteY2" fmla="*/ 73702 h 363505"/>
            <a:gd name="connsiteX3" fmla="*/ 6601228 w 6890994"/>
            <a:gd name="connsiteY3" fmla="*/ 363505 h 363505"/>
            <a:gd name="connsiteX4" fmla="*/ 289766 w 6890994"/>
            <a:gd name="connsiteY4" fmla="*/ 363505 h 363505"/>
            <a:gd name="connsiteX5" fmla="*/ 0 w 6890994"/>
            <a:gd name="connsiteY5" fmla="*/ 73702 h 36350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890994" h="363505">
              <a:moveTo>
                <a:pt x="0" y="0"/>
              </a:moveTo>
              <a:lnTo>
                <a:pt x="6890994" y="0"/>
              </a:lnTo>
              <a:lnTo>
                <a:pt x="6890994" y="73702"/>
              </a:lnTo>
              <a:cubicBezTo>
                <a:pt x="6890994" y="233755"/>
                <a:pt x="6761261" y="363505"/>
                <a:pt x="6601228" y="363505"/>
              </a:cubicBezTo>
              <a:lnTo>
                <a:pt x="289766" y="363505"/>
              </a:lnTo>
              <a:cubicBezTo>
                <a:pt x="129733" y="363505"/>
                <a:pt x="0" y="233755"/>
                <a:pt x="0" y="73702"/>
              </a:cubicBezTo>
              <a:close/>
            </a:path>
          </a:pathLst>
        </a:cu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clientData/>
  </xdr:twoCellAnchor>
  <xdr:twoCellAnchor editAs="absolute">
    <xdr:from>
      <xdr:col>5</xdr:col>
      <xdr:colOff>0</xdr:colOff>
      <xdr:row>67</xdr:row>
      <xdr:rowOff>43420</xdr:rowOff>
    </xdr:from>
    <xdr:to>
      <xdr:col>8</xdr:col>
      <xdr:colOff>419288</xdr:colOff>
      <xdr:row>70</xdr:row>
      <xdr:rowOff>166685</xdr:rowOff>
    </xdr:to>
    <xdr:sp macro="" textlink="">
      <xdr:nvSpPr>
        <xdr:cNvPr id="36" name="Marcador de texto 2">
          <a:extLst>
            <a:ext uri="{FF2B5EF4-FFF2-40B4-BE49-F238E27FC236}">
              <a16:creationId xmlns:a16="http://schemas.microsoft.com/office/drawing/2014/main" id="{00000000-0008-0000-0800-000024000000}"/>
            </a:ext>
          </a:extLst>
        </xdr:cNvPr>
        <xdr:cNvSpPr>
          <a:spLocks noGrp="1" noChangeAspect="1"/>
        </xdr:cNvSpPr>
      </xdr:nvSpPr>
      <xdr:spPr>
        <a:xfrm flipH="1" flipV="1">
          <a:off x="3810000" y="12806920"/>
          <a:ext cx="2705288"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tretch>
            <a:fillRect/>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8</xdr:col>
      <xdr:colOff>408081</xdr:colOff>
      <xdr:row>67</xdr:row>
      <xdr:rowOff>43420</xdr:rowOff>
    </xdr:from>
    <xdr:to>
      <xdr:col>11</xdr:col>
      <xdr:colOff>598582</xdr:colOff>
      <xdr:row>70</xdr:row>
      <xdr:rowOff>166685</xdr:rowOff>
    </xdr:to>
    <xdr:sp macro="" textlink="">
      <xdr:nvSpPr>
        <xdr:cNvPr id="37" name="Marcador de texto 2">
          <a:extLst>
            <a:ext uri="{FF2B5EF4-FFF2-40B4-BE49-F238E27FC236}">
              <a16:creationId xmlns:a16="http://schemas.microsoft.com/office/drawing/2014/main" id="{00000000-0008-0000-0800-000025000000}"/>
            </a:ext>
          </a:extLst>
        </xdr:cNvPr>
        <xdr:cNvSpPr>
          <a:spLocks noGrp="1" noChangeAspect="1"/>
        </xdr:cNvSpPr>
      </xdr:nvSpPr>
      <xdr:spPr>
        <a:xfrm>
          <a:off x="6504081" y="12806920"/>
          <a:ext cx="2476501"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3" r="-9236"/>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13</xdr:col>
      <xdr:colOff>271744</xdr:colOff>
      <xdr:row>67</xdr:row>
      <xdr:rowOff>55326</xdr:rowOff>
    </xdr:from>
    <xdr:to>
      <xdr:col>14</xdr:col>
      <xdr:colOff>758267</xdr:colOff>
      <xdr:row>70</xdr:row>
      <xdr:rowOff>178591</xdr:rowOff>
    </xdr:to>
    <xdr:sp macro="" textlink="">
      <xdr:nvSpPr>
        <xdr:cNvPr id="38" name="Marcador de texto 2">
          <a:extLst>
            <a:ext uri="{FF2B5EF4-FFF2-40B4-BE49-F238E27FC236}">
              <a16:creationId xmlns:a16="http://schemas.microsoft.com/office/drawing/2014/main" id="{00000000-0008-0000-0800-000026000000}"/>
            </a:ext>
          </a:extLst>
        </xdr:cNvPr>
        <xdr:cNvSpPr>
          <a:spLocks noGrp="1" noChangeAspect="1"/>
        </xdr:cNvSpPr>
      </xdr:nvSpPr>
      <xdr:spPr>
        <a:xfrm flipV="1">
          <a:off x="10177744" y="12818826"/>
          <a:ext cx="1248523"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116678"/>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11</xdr:col>
      <xdr:colOff>444498</xdr:colOff>
      <xdr:row>67</xdr:row>
      <xdr:rowOff>55326</xdr:rowOff>
    </xdr:from>
    <xdr:to>
      <xdr:col>13</xdr:col>
      <xdr:colOff>275164</xdr:colOff>
      <xdr:row>70</xdr:row>
      <xdr:rowOff>178591</xdr:rowOff>
    </xdr:to>
    <xdr:sp macro="" textlink="">
      <xdr:nvSpPr>
        <xdr:cNvPr id="39" name="Marcador de texto 2">
          <a:extLst>
            <a:ext uri="{FF2B5EF4-FFF2-40B4-BE49-F238E27FC236}">
              <a16:creationId xmlns:a16="http://schemas.microsoft.com/office/drawing/2014/main" id="{00000000-0008-0000-0800-000027000000}"/>
            </a:ext>
          </a:extLst>
        </xdr:cNvPr>
        <xdr:cNvSpPr>
          <a:spLocks noGrp="1" noChangeAspect="1"/>
        </xdr:cNvSpPr>
      </xdr:nvSpPr>
      <xdr:spPr>
        <a:xfrm flipH="1" flipV="1">
          <a:off x="8826498" y="12818826"/>
          <a:ext cx="1354666" cy="694765"/>
        </a:xfrm>
        <a:prstGeom prst="rect">
          <a:avLst/>
        </a:prstGeom>
        <a:blipFill>
          <a:blip xmlns:r="http://schemas.openxmlformats.org/officeDocument/2006/relationships" r:embed="rId1" cstate="email">
            <a:extLst>
              <a:ext uri="{28A0092B-C50C-407E-A947-70E740481C1C}">
                <a14:useLocalDpi xmlns:a14="http://schemas.microsoft.com/office/drawing/2010/main"/>
              </a:ext>
            </a:extLst>
          </a:blip>
          <a:srcRect/>
          <a:stretch>
            <a:fillRect l="-8182" r="-91521"/>
          </a:stretch>
        </a:blipFill>
        <a:ln w="12700">
          <a:miter lim="400000"/>
        </a:ln>
        <a:extLst>
          <a:ext uri="{C572A759-6A51-4108-AA02-DFA0A04FC94B}">
            <ma14:wrappingTextBoxFlag xmlns:r="http://schemas.openxmlformats.org/officeDocument/2006/relationships" xmlns:p="http://schemas.openxmlformats.org/presentationml/2006/main" xmlns="" xmlns:m="http://schemas.openxmlformats.org/officeDocument/2006/math" xmlns:a14="http://schemas.microsoft.com/office/drawing/2010/main" xmlns:ma14="http://schemas.microsoft.com/office/mac/drawingml/2011/main" xmlns:lc="http://schemas.openxmlformats.org/drawingml/2006/lockedCanvas" val="1"/>
          </a:ext>
        </a:extLst>
      </xdr:spPr>
      <xdr:txBody>
        <a:bodyPr wrap="square" lIns="50800" tIns="50800" rIns="50800" bIns="50800" anchor="ctr">
          <a:normAutofit/>
        </a:bodyPr>
        <a:lstStyle>
          <a:lvl1pPr marL="0" marR="0" indent="0" algn="l" defTabSz="825500" eaLnBrk="1" latinLnBrk="0" hangingPunct="1">
            <a:lnSpc>
              <a:spcPct val="100000"/>
            </a:lnSpc>
            <a:spcBef>
              <a:spcPts val="5900"/>
            </a:spcBef>
            <a:spcAft>
              <a:spcPts val="0"/>
            </a:spcAft>
            <a:buClrTx/>
            <a:buSzPct val="125000"/>
            <a:buFontTx/>
            <a:buNone/>
            <a:tabLst/>
            <a:defRPr sz="100" b="0" i="0" u="none" strike="noStrike" cap="none" spc="0" baseline="0">
              <a:solidFill>
                <a:schemeClr val="bg1">
                  <a:alpha val="0"/>
                </a:schemeClr>
              </a:solidFill>
              <a:uFillTx/>
              <a:latin typeface="Helvetica Neue"/>
              <a:ea typeface="Helvetica Neue"/>
              <a:cs typeface="Helvetica Neue"/>
              <a:sym typeface="Helvetica Neue"/>
            </a:defRPr>
          </a:lvl1pPr>
          <a:lvl2pPr marL="127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2pPr>
          <a:lvl3pPr marL="190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3pPr>
          <a:lvl4pPr marL="254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4pPr>
          <a:lvl5pPr marL="317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5pPr>
          <a:lvl6pPr marL="381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6pPr>
          <a:lvl7pPr marL="444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7pPr>
          <a:lvl8pPr marL="5080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8pPr>
          <a:lvl9pPr marL="5715000" marR="0" indent="-635000" algn="l" defTabSz="825500" eaLnBrk="1" latinLnBrk="0" hangingPunct="1">
            <a:lnSpc>
              <a:spcPct val="100000"/>
            </a:lnSpc>
            <a:spcBef>
              <a:spcPts val="5900"/>
            </a:spcBef>
            <a:spcAft>
              <a:spcPts val="0"/>
            </a:spcAft>
            <a:buClrTx/>
            <a:buSzPct val="125000"/>
            <a:buFontTx/>
            <a:buChar char="•"/>
            <a:tabLst/>
            <a:defRPr sz="5200" b="0" i="0" u="none" strike="noStrike" cap="none" spc="0" baseline="0">
              <a:solidFill>
                <a:srgbClr val="000000"/>
              </a:solidFill>
              <a:uFillTx/>
              <a:latin typeface="Helvetica Neue"/>
              <a:ea typeface="Helvetica Neue"/>
              <a:cs typeface="Helvetica Neue"/>
              <a:sym typeface="Helvetica Neue"/>
            </a:defRPr>
          </a:lvl9pPr>
        </a:lstStyle>
        <a:p>
          <a:endParaRPr lang="es-MX"/>
        </a:p>
      </xdr:txBody>
    </xdr:sp>
    <xdr:clientData/>
  </xdr:twoCellAnchor>
  <xdr:twoCellAnchor editAs="absolute">
    <xdr:from>
      <xdr:col>15</xdr:col>
      <xdr:colOff>681067</xdr:colOff>
      <xdr:row>66</xdr:row>
      <xdr:rowOff>87502</xdr:rowOff>
    </xdr:from>
    <xdr:to>
      <xdr:col>17</xdr:col>
      <xdr:colOff>858119</xdr:colOff>
      <xdr:row>70</xdr:row>
      <xdr:rowOff>119064</xdr:rowOff>
    </xdr:to>
    <xdr:pic>
      <xdr:nvPicPr>
        <xdr:cNvPr id="2" name="Orbia Logo" descr="Pavc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11067" y="12660502"/>
          <a:ext cx="1701052" cy="793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148172</xdr:colOff>
      <xdr:row>67</xdr:row>
      <xdr:rowOff>168012</xdr:rowOff>
    </xdr:from>
    <xdr:to>
      <xdr:col>2</xdr:col>
      <xdr:colOff>499732</xdr:colOff>
      <xdr:row>69</xdr:row>
      <xdr:rowOff>137487</xdr:rowOff>
    </xdr:to>
    <xdr:pic>
      <xdr:nvPicPr>
        <xdr:cNvPr id="4" name="LinkedIn">
          <a:hlinkClick xmlns:r="http://schemas.openxmlformats.org/officeDocument/2006/relationships" r:id="rId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72172" y="12931512"/>
          <a:ext cx="351560" cy="350475"/>
        </a:xfrm>
        <a:prstGeom prst="rect">
          <a:avLst/>
        </a:prstGeom>
      </xdr:spPr>
    </xdr:pic>
    <xdr:clientData/>
  </xdr:twoCellAnchor>
  <xdr:twoCellAnchor editAs="absolute">
    <xdr:from>
      <xdr:col>1</xdr:col>
      <xdr:colOff>253104</xdr:colOff>
      <xdr:row>68</xdr:row>
      <xdr:rowOff>51593</xdr:rowOff>
    </xdr:from>
    <xdr:to>
      <xdr:col>1</xdr:col>
      <xdr:colOff>658474</xdr:colOff>
      <xdr:row>69</xdr:row>
      <xdr:rowOff>166686</xdr:rowOff>
    </xdr:to>
    <xdr:pic>
      <xdr:nvPicPr>
        <xdr:cNvPr id="6" name="YouTube">
          <a:hlinkClick xmlns:r="http://schemas.openxmlformats.org/officeDocument/2006/relationships" r:id="rId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15104" y="13005593"/>
          <a:ext cx="405370" cy="305593"/>
        </a:xfrm>
        <a:prstGeom prst="rect">
          <a:avLst/>
        </a:prstGeom>
      </xdr:spPr>
    </xdr:pic>
    <xdr:clientData/>
  </xdr:twoCellAnchor>
  <xdr:twoCellAnchor editAs="absolute">
    <xdr:from>
      <xdr:col>0</xdr:col>
      <xdr:colOff>412754</xdr:colOff>
      <xdr:row>67</xdr:row>
      <xdr:rowOff>168012</xdr:rowOff>
    </xdr:from>
    <xdr:to>
      <xdr:col>1</xdr:col>
      <xdr:colOff>1405</xdr:colOff>
      <xdr:row>69</xdr:row>
      <xdr:rowOff>137487</xdr:rowOff>
    </xdr:to>
    <xdr:pic>
      <xdr:nvPicPr>
        <xdr:cNvPr id="5" name="Facebook">
          <a:hlinkClick xmlns:r="http://schemas.openxmlformats.org/officeDocument/2006/relationships" r:id="rId7"/>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12754" y="12931512"/>
          <a:ext cx="350651" cy="350475"/>
        </a:xfrm>
        <a:prstGeom prst="rect">
          <a:avLst/>
        </a:prstGeom>
      </xdr:spPr>
    </xdr:pic>
    <xdr:clientData/>
  </xdr:twoCellAnchor>
  <xdr:twoCellAnchor editAs="absolute">
    <xdr:from>
      <xdr:col>0</xdr:col>
      <xdr:colOff>0</xdr:colOff>
      <xdr:row>47</xdr:row>
      <xdr:rowOff>103197</xdr:rowOff>
    </xdr:from>
    <xdr:to>
      <xdr:col>4</xdr:col>
      <xdr:colOff>285750</xdr:colOff>
      <xdr:row>67</xdr:row>
      <xdr:rowOff>189720</xdr:rowOff>
    </xdr:to>
    <xdr:sp macro="" textlink="">
      <xdr:nvSpPr>
        <xdr:cNvPr id="3" name="Info Pavco">
          <a:extLst>
            <a:ext uri="{FF2B5EF4-FFF2-40B4-BE49-F238E27FC236}">
              <a16:creationId xmlns:a16="http://schemas.microsoft.com/office/drawing/2014/main" id="{00000000-0008-0000-0800-000003000000}"/>
            </a:ext>
          </a:extLst>
        </xdr:cNvPr>
        <xdr:cNvSpPr txBox="1">
          <a:spLocks noChangeAspect="1"/>
        </xdr:cNvSpPr>
      </xdr:nvSpPr>
      <xdr:spPr>
        <a:xfrm>
          <a:off x="0" y="9056697"/>
          <a:ext cx="3333750" cy="3896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b="1" i="0">
              <a:solidFill>
                <a:schemeClr val="bg1"/>
              </a:solidFill>
              <a:effectLst/>
              <a:latin typeface="PT Sans Narrow" panose="020B0506020203020204" pitchFamily="34" charset="0"/>
              <a:ea typeface="+mn-ea"/>
              <a:cs typeface="+mn-cs"/>
            </a:rPr>
            <a:t>Bogotá: Autopista Sur # 71-75.</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(601) 782 5000 Ext.:1101 Fax: +57 (601) 782 5020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Cali: Calle 64 Norte 5BN 46. Oficina R01, Centro Empresa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(602) 829 8969 EXT 2809</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Bucaramanga: Calle 30 # 22-129 Oficina 1802, Floridablanca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+57 314 330 2331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Barranquilla: Conmutador: +57 (605) 375 8100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0041</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Itagüí - Antioquia: Calle 27 # 41-80</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Conmutador: +57 (604) 325 6660</a:t>
          </a:r>
          <a:br>
            <a:rPr lang="es-CO" sz="1200" b="1">
              <a:solidFill>
                <a:schemeClr val="bg1"/>
              </a:solidFill>
              <a:latin typeface="PT Sans Narrow" panose="020B0506020203020204" pitchFamily="34" charset="0"/>
            </a:rPr>
          </a:b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Eje Cafetero: Carrera 17 # 5-58 Oficina 304 , Pereira</a:t>
          </a:r>
          <a:br>
            <a:rPr lang="es-CO" sz="1200" b="1">
              <a:solidFill>
                <a:schemeClr val="bg1"/>
              </a:solidFill>
              <a:latin typeface="PT Sans Narrow" panose="020B0506020203020204" pitchFamily="34" charset="0"/>
            </a:rPr>
          </a:br>
          <a:r>
            <a:rPr lang="es-CO" sz="1200" b="1" i="0">
              <a:solidFill>
                <a:schemeClr val="bg1"/>
              </a:solidFill>
              <a:effectLst/>
              <a:latin typeface="PT Sans Narrow" panose="020B0506020203020204" pitchFamily="34" charset="0"/>
              <a:ea typeface="+mn-ea"/>
              <a:cs typeface="+mn-cs"/>
            </a:rPr>
            <a:t>Servicliente: +57 312 332 0025</a:t>
          </a:r>
          <a:endParaRPr lang="es-CO" sz="1200" b="1">
            <a:solidFill>
              <a:schemeClr val="bg1"/>
            </a:solidFill>
            <a:latin typeface="PT Sans Narrow" panose="020B0506020203020204" pitchFamily="34" charset="0"/>
          </a:endParaRPr>
        </a:p>
      </xdr:txBody>
    </xdr:sp>
    <xdr:clientData/>
  </xdr:twoCellAnchor>
  <xdr:twoCellAnchor editAs="absolute">
    <xdr:from>
      <xdr:col>17</xdr:col>
      <xdr:colOff>31751</xdr:colOff>
      <xdr:row>59</xdr:row>
      <xdr:rowOff>142883</xdr:rowOff>
    </xdr:from>
    <xdr:to>
      <xdr:col>17</xdr:col>
      <xdr:colOff>974533</xdr:colOff>
      <xdr:row>66</xdr:row>
      <xdr:rowOff>9355</xdr:rowOff>
    </xdr:to>
    <xdr:grpSp>
      <xdr:nvGrpSpPr>
        <xdr:cNvPr id="50" name="Boton Datos de Proy Down">
          <a:extLst>
            <a:ext uri="{FF2B5EF4-FFF2-40B4-BE49-F238E27FC236}">
              <a16:creationId xmlns:a16="http://schemas.microsoft.com/office/drawing/2014/main" id="{00000000-0008-0000-0800-000032000000}"/>
            </a:ext>
          </a:extLst>
        </xdr:cNvPr>
        <xdr:cNvGrpSpPr>
          <a:grpSpLocks noChangeAspect="1"/>
        </xdr:cNvGrpSpPr>
      </xdr:nvGrpSpPr>
      <xdr:grpSpPr>
        <a:xfrm>
          <a:off x="12985751" y="11382383"/>
          <a:ext cx="942782" cy="1199972"/>
          <a:chOff x="1725407" y="1124918"/>
          <a:chExt cx="1048614" cy="1520915"/>
        </a:xfrm>
      </xdr:grpSpPr>
      <xdr:sp macro="[0]!Volver_Datos_Proy" textlink="">
        <xdr:nvSpPr>
          <xdr:cNvPr id="51" name="Octágono 50">
            <a:extLst>
              <a:ext uri="{FF2B5EF4-FFF2-40B4-BE49-F238E27FC236}">
                <a16:creationId xmlns:a16="http://schemas.microsoft.com/office/drawing/2014/main" id="{00000000-0008-0000-0800-000033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Volver_Datos_Proy" textlink="">
        <xdr:nvSpPr>
          <xdr:cNvPr id="52" name="CuadroTexto 51">
            <a:extLst>
              <a:ext uri="{FF2B5EF4-FFF2-40B4-BE49-F238E27FC236}">
                <a16:creationId xmlns:a16="http://schemas.microsoft.com/office/drawing/2014/main" id="{00000000-0008-0000-0800-000034000000}"/>
              </a:ext>
            </a:extLst>
          </xdr:cNvPr>
          <xdr:cNvSpPr txBox="1"/>
        </xdr:nvSpPr>
        <xdr:spPr>
          <a:xfrm>
            <a:off x="1725407" y="1124918"/>
            <a:ext cx="1048614" cy="1021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DATOS DE PROYECTO</a:t>
            </a:r>
          </a:p>
        </xdr:txBody>
      </xdr:sp>
      <xdr:pic macro="[0]!Volver_Datos_Proy">
        <xdr:nvPicPr>
          <xdr:cNvPr id="53" name="Imagen 52">
            <a:extLst>
              <a:ext uri="{FF2B5EF4-FFF2-40B4-BE49-F238E27FC236}">
                <a16:creationId xmlns:a16="http://schemas.microsoft.com/office/drawing/2014/main" id="{00000000-0008-0000-0800-00003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twoCellAnchor editAs="absolute">
    <xdr:from>
      <xdr:col>17</xdr:col>
      <xdr:colOff>31748</xdr:colOff>
      <xdr:row>21</xdr:row>
      <xdr:rowOff>104514</xdr:rowOff>
    </xdr:from>
    <xdr:to>
      <xdr:col>17</xdr:col>
      <xdr:colOff>974530</xdr:colOff>
      <xdr:row>27</xdr:row>
      <xdr:rowOff>161486</xdr:rowOff>
    </xdr:to>
    <xdr:grpSp>
      <xdr:nvGrpSpPr>
        <xdr:cNvPr id="46" name="Boton Datos de Proy Up">
          <a:extLst>
            <a:ext uri="{FF2B5EF4-FFF2-40B4-BE49-F238E27FC236}">
              <a16:creationId xmlns:a16="http://schemas.microsoft.com/office/drawing/2014/main" id="{00000000-0008-0000-0800-00002E000000}"/>
            </a:ext>
          </a:extLst>
        </xdr:cNvPr>
        <xdr:cNvGrpSpPr>
          <a:grpSpLocks noChangeAspect="1"/>
        </xdr:cNvGrpSpPr>
      </xdr:nvGrpSpPr>
      <xdr:grpSpPr>
        <a:xfrm>
          <a:off x="12985748" y="4105014"/>
          <a:ext cx="942782" cy="1199972"/>
          <a:chOff x="1725407" y="1124918"/>
          <a:chExt cx="1048614" cy="1520915"/>
        </a:xfrm>
      </xdr:grpSpPr>
      <xdr:sp macro="[0]!Volver_Datos_Proy" textlink="">
        <xdr:nvSpPr>
          <xdr:cNvPr id="47" name="Octágono 46">
            <a:extLst>
              <a:ext uri="{FF2B5EF4-FFF2-40B4-BE49-F238E27FC236}">
                <a16:creationId xmlns:a16="http://schemas.microsoft.com/office/drawing/2014/main" id="{00000000-0008-0000-0800-00002F000000}"/>
              </a:ext>
            </a:extLst>
          </xdr:cNvPr>
          <xdr:cNvSpPr/>
        </xdr:nvSpPr>
        <xdr:spPr>
          <a:xfrm>
            <a:off x="1830915" y="1248832"/>
            <a:ext cx="836085" cy="1397001"/>
          </a:xfrm>
          <a:prstGeom prst="octagon">
            <a:avLst>
              <a:gd name="adj" fmla="val 13140"/>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Volver_Datos_Proy" textlink="">
        <xdr:nvSpPr>
          <xdr:cNvPr id="48" name="CuadroTexto 47">
            <a:extLst>
              <a:ext uri="{FF2B5EF4-FFF2-40B4-BE49-F238E27FC236}">
                <a16:creationId xmlns:a16="http://schemas.microsoft.com/office/drawing/2014/main" id="{00000000-0008-0000-0800-000030000000}"/>
              </a:ext>
            </a:extLst>
          </xdr:cNvPr>
          <xdr:cNvSpPr txBox="1"/>
        </xdr:nvSpPr>
        <xdr:spPr>
          <a:xfrm>
            <a:off x="1725407" y="1124918"/>
            <a:ext cx="1048614" cy="10212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ysClr val="windowText" lastClr="000000"/>
                </a:solidFill>
                <a:latin typeface="PT Sans Narrow" panose="020B0506020203020204" pitchFamily="34" charset="0"/>
              </a:rPr>
              <a:t>VOLVER A DATOS DE PROYECTO</a:t>
            </a:r>
          </a:p>
        </xdr:txBody>
      </xdr:sp>
      <xdr:pic macro="[0]!Volver_Datos_Proy">
        <xdr:nvPicPr>
          <xdr:cNvPr id="49" name="Imagen 48">
            <a:extLst>
              <a:ext uri="{FF2B5EF4-FFF2-40B4-BE49-F238E27FC236}">
                <a16:creationId xmlns:a16="http://schemas.microsoft.com/office/drawing/2014/main" id="{00000000-0008-0000-0800-00003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flipH="1">
            <a:off x="1936751" y="2021417"/>
            <a:ext cx="504000" cy="504000"/>
          </a:xfrm>
          <a:prstGeom prst="rect">
            <a:avLst/>
          </a:prstGeom>
        </xdr:spPr>
      </xdr:pic>
    </xdr:grpSp>
    <xdr:clientData/>
  </xdr:twoCellAnchor>
  <xdr:twoCellAnchor editAs="absolute">
    <xdr:from>
      <xdr:col>3</xdr:col>
      <xdr:colOff>391587</xdr:colOff>
      <xdr:row>61</xdr:row>
      <xdr:rowOff>108480</xdr:rowOff>
    </xdr:from>
    <xdr:to>
      <xdr:col>10</xdr:col>
      <xdr:colOff>719670</xdr:colOff>
      <xdr:row>63</xdr:row>
      <xdr:rowOff>110597</xdr:rowOff>
    </xdr:to>
    <xdr:grpSp>
      <xdr:nvGrpSpPr>
        <xdr:cNvPr id="33" name="Condiciones de Instalación">
          <a:extLst>
            <a:ext uri="{FF2B5EF4-FFF2-40B4-BE49-F238E27FC236}">
              <a16:creationId xmlns:a16="http://schemas.microsoft.com/office/drawing/2014/main" id="{00000000-0008-0000-0800-000021000000}"/>
            </a:ext>
          </a:extLst>
        </xdr:cNvPr>
        <xdr:cNvGrpSpPr>
          <a:grpSpLocks noChangeAspect="1"/>
        </xdr:cNvGrpSpPr>
      </xdr:nvGrpSpPr>
      <xdr:grpSpPr>
        <a:xfrm>
          <a:off x="2677587" y="11728980"/>
          <a:ext cx="5662083" cy="383117"/>
          <a:chOff x="3767668" y="14319250"/>
          <a:chExt cx="5662083" cy="383117"/>
        </a:xfrm>
      </xdr:grpSpPr>
      <xdr:sp macro="" textlink="">
        <xdr:nvSpPr>
          <xdr:cNvPr id="34" name="Rectángulo: esquinas diagonales cortadas 33">
            <a:extLst>
              <a:ext uri="{FF2B5EF4-FFF2-40B4-BE49-F238E27FC236}">
                <a16:creationId xmlns:a16="http://schemas.microsoft.com/office/drawing/2014/main" id="{00000000-0008-0000-0800-000022000000}"/>
              </a:ext>
            </a:extLst>
          </xdr:cNvPr>
          <xdr:cNvSpPr/>
        </xdr:nvSpPr>
        <xdr:spPr>
          <a:xfrm flipV="1">
            <a:off x="4011081" y="14319250"/>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5" name="CuadroTexto 34">
            <a:extLst>
              <a:ext uri="{FF2B5EF4-FFF2-40B4-BE49-F238E27FC236}">
                <a16:creationId xmlns:a16="http://schemas.microsoft.com/office/drawing/2014/main" id="{00000000-0008-0000-0800-000023000000}"/>
              </a:ext>
            </a:extLst>
          </xdr:cNvPr>
          <xdr:cNvSpPr txBox="1"/>
        </xdr:nvSpPr>
        <xdr:spPr>
          <a:xfrm>
            <a:off x="3767668" y="14353304"/>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CONDICIONES DE INSTALACIÓN</a:t>
            </a:r>
          </a:p>
        </xdr:txBody>
      </xdr:sp>
    </xdr:grpSp>
    <xdr:clientData/>
  </xdr:twoCellAnchor>
  <xdr:twoCellAnchor editAs="absolute">
    <xdr:from>
      <xdr:col>3</xdr:col>
      <xdr:colOff>433919</xdr:colOff>
      <xdr:row>51</xdr:row>
      <xdr:rowOff>92599</xdr:rowOff>
    </xdr:from>
    <xdr:to>
      <xdr:col>11</xdr:col>
      <xdr:colOff>2</xdr:colOff>
      <xdr:row>53</xdr:row>
      <xdr:rowOff>94716</xdr:rowOff>
    </xdr:to>
    <xdr:grpSp>
      <xdr:nvGrpSpPr>
        <xdr:cNvPr id="30" name="Calculo Fuerzas">
          <a:extLst>
            <a:ext uri="{FF2B5EF4-FFF2-40B4-BE49-F238E27FC236}">
              <a16:creationId xmlns:a16="http://schemas.microsoft.com/office/drawing/2014/main" id="{00000000-0008-0000-0800-00001E000000}"/>
            </a:ext>
          </a:extLst>
        </xdr:cNvPr>
        <xdr:cNvGrpSpPr>
          <a:grpSpLocks noChangeAspect="1"/>
        </xdr:cNvGrpSpPr>
      </xdr:nvGrpSpPr>
      <xdr:grpSpPr>
        <a:xfrm>
          <a:off x="2719919" y="9808099"/>
          <a:ext cx="5662083" cy="383117"/>
          <a:chOff x="3810000" y="14319250"/>
          <a:chExt cx="5662083" cy="383117"/>
        </a:xfrm>
      </xdr:grpSpPr>
      <xdr:sp macro="" textlink="">
        <xdr:nvSpPr>
          <xdr:cNvPr id="31" name="Rectángulo: esquinas diagonales cortadas 30">
            <a:extLst>
              <a:ext uri="{FF2B5EF4-FFF2-40B4-BE49-F238E27FC236}">
                <a16:creationId xmlns:a16="http://schemas.microsoft.com/office/drawing/2014/main" id="{00000000-0008-0000-0800-00001F000000}"/>
              </a:ext>
            </a:extLst>
          </xdr:cNvPr>
          <xdr:cNvSpPr/>
        </xdr:nvSpPr>
        <xdr:spPr>
          <a:xfrm flipV="1">
            <a:off x="4011081" y="14319250"/>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2" name="CuadroTexto 31">
            <a:extLst>
              <a:ext uri="{FF2B5EF4-FFF2-40B4-BE49-F238E27FC236}">
                <a16:creationId xmlns:a16="http://schemas.microsoft.com/office/drawing/2014/main" id="{00000000-0008-0000-0800-000020000000}"/>
              </a:ext>
            </a:extLst>
          </xdr:cNvPr>
          <xdr:cNvSpPr txBox="1"/>
        </xdr:nvSpPr>
        <xdr:spPr>
          <a:xfrm>
            <a:off x="3810000" y="14353304"/>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CÁLCULO DE FUERZAS</a:t>
            </a:r>
          </a:p>
        </xdr:txBody>
      </xdr:sp>
    </xdr:grpSp>
    <xdr:clientData/>
  </xdr:twoCellAnchor>
  <xdr:twoCellAnchor editAs="absolute">
    <xdr:from>
      <xdr:col>3</xdr:col>
      <xdr:colOff>433919</xdr:colOff>
      <xdr:row>43</xdr:row>
      <xdr:rowOff>104513</xdr:rowOff>
    </xdr:from>
    <xdr:to>
      <xdr:col>11</xdr:col>
      <xdr:colOff>2</xdr:colOff>
      <xdr:row>45</xdr:row>
      <xdr:rowOff>106630</xdr:rowOff>
    </xdr:to>
    <xdr:grpSp>
      <xdr:nvGrpSpPr>
        <xdr:cNvPr id="27" name="Propiedades del Suelo">
          <a:extLst>
            <a:ext uri="{FF2B5EF4-FFF2-40B4-BE49-F238E27FC236}">
              <a16:creationId xmlns:a16="http://schemas.microsoft.com/office/drawing/2014/main" id="{00000000-0008-0000-0800-00001B000000}"/>
            </a:ext>
          </a:extLst>
        </xdr:cNvPr>
        <xdr:cNvGrpSpPr>
          <a:grpSpLocks noChangeAspect="1"/>
        </xdr:cNvGrpSpPr>
      </xdr:nvGrpSpPr>
      <xdr:grpSpPr>
        <a:xfrm>
          <a:off x="2719919" y="8296013"/>
          <a:ext cx="5662083" cy="383117"/>
          <a:chOff x="3810000" y="14319250"/>
          <a:chExt cx="5662083" cy="383117"/>
        </a:xfrm>
      </xdr:grpSpPr>
      <xdr:sp macro="" textlink="">
        <xdr:nvSpPr>
          <xdr:cNvPr id="28" name="Rectángulo: esquinas diagonales cortadas 27">
            <a:extLst>
              <a:ext uri="{FF2B5EF4-FFF2-40B4-BE49-F238E27FC236}">
                <a16:creationId xmlns:a16="http://schemas.microsoft.com/office/drawing/2014/main" id="{00000000-0008-0000-0800-00001C000000}"/>
              </a:ext>
            </a:extLst>
          </xdr:cNvPr>
          <xdr:cNvSpPr/>
        </xdr:nvSpPr>
        <xdr:spPr>
          <a:xfrm flipV="1">
            <a:off x="4011081" y="14319250"/>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9" name="CuadroTexto 28">
            <a:extLst>
              <a:ext uri="{FF2B5EF4-FFF2-40B4-BE49-F238E27FC236}">
                <a16:creationId xmlns:a16="http://schemas.microsoft.com/office/drawing/2014/main" id="{00000000-0008-0000-0800-00001D000000}"/>
              </a:ext>
            </a:extLst>
          </xdr:cNvPr>
          <xdr:cNvSpPr txBox="1"/>
        </xdr:nvSpPr>
        <xdr:spPr>
          <a:xfrm>
            <a:off x="3810000" y="14353304"/>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PROPIEDADES DEL SUELO</a:t>
            </a:r>
          </a:p>
        </xdr:txBody>
      </xdr:sp>
    </xdr:grpSp>
    <xdr:clientData/>
  </xdr:twoCellAnchor>
  <xdr:twoCellAnchor editAs="absolute">
    <xdr:from>
      <xdr:col>3</xdr:col>
      <xdr:colOff>433919</xdr:colOff>
      <xdr:row>17</xdr:row>
      <xdr:rowOff>95250</xdr:rowOff>
    </xdr:from>
    <xdr:to>
      <xdr:col>11</xdr:col>
      <xdr:colOff>2</xdr:colOff>
      <xdr:row>19</xdr:row>
      <xdr:rowOff>97367</xdr:rowOff>
    </xdr:to>
    <xdr:grpSp>
      <xdr:nvGrpSpPr>
        <xdr:cNvPr id="23" name="Datos Instalación">
          <a:extLst>
            <a:ext uri="{FF2B5EF4-FFF2-40B4-BE49-F238E27FC236}">
              <a16:creationId xmlns:a16="http://schemas.microsoft.com/office/drawing/2014/main" id="{00000000-0008-0000-0800-000017000000}"/>
            </a:ext>
          </a:extLst>
        </xdr:cNvPr>
        <xdr:cNvGrpSpPr>
          <a:grpSpLocks noChangeAspect="1"/>
        </xdr:cNvGrpSpPr>
      </xdr:nvGrpSpPr>
      <xdr:grpSpPr>
        <a:xfrm>
          <a:off x="2719919" y="3333750"/>
          <a:ext cx="5662083" cy="383117"/>
          <a:chOff x="2730500" y="3196169"/>
          <a:chExt cx="5662083" cy="383117"/>
        </a:xfrm>
      </xdr:grpSpPr>
      <xdr:sp macro="" textlink="">
        <xdr:nvSpPr>
          <xdr:cNvPr id="24" name="Rectángulo: esquinas diagonales cortadas 23">
            <a:extLst>
              <a:ext uri="{FF2B5EF4-FFF2-40B4-BE49-F238E27FC236}">
                <a16:creationId xmlns:a16="http://schemas.microsoft.com/office/drawing/2014/main" id="{00000000-0008-0000-0800-000018000000}"/>
              </a:ext>
            </a:extLst>
          </xdr:cNvPr>
          <xdr:cNvSpPr/>
        </xdr:nvSpPr>
        <xdr:spPr>
          <a:xfrm flipV="1">
            <a:off x="2931581" y="3196169"/>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CuadroTexto 24">
            <a:extLst>
              <a:ext uri="{FF2B5EF4-FFF2-40B4-BE49-F238E27FC236}">
                <a16:creationId xmlns:a16="http://schemas.microsoft.com/office/drawing/2014/main" id="{00000000-0008-0000-0800-000019000000}"/>
              </a:ext>
            </a:extLst>
          </xdr:cNvPr>
          <xdr:cNvSpPr txBox="1"/>
        </xdr:nvSpPr>
        <xdr:spPr>
          <a:xfrm>
            <a:off x="2730500" y="3230223"/>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DATOS DE INSTALACIÓN</a:t>
            </a:r>
          </a:p>
        </xdr:txBody>
      </xdr:sp>
    </xdr:grpSp>
    <xdr:clientData/>
  </xdr:twoCellAnchor>
  <xdr:twoCellAnchor editAs="absolute">
    <xdr:from>
      <xdr:col>3</xdr:col>
      <xdr:colOff>433919</xdr:colOff>
      <xdr:row>5</xdr:row>
      <xdr:rowOff>124355</xdr:rowOff>
    </xdr:from>
    <xdr:to>
      <xdr:col>11</xdr:col>
      <xdr:colOff>2</xdr:colOff>
      <xdr:row>7</xdr:row>
      <xdr:rowOff>126472</xdr:rowOff>
    </xdr:to>
    <xdr:grpSp>
      <xdr:nvGrpSpPr>
        <xdr:cNvPr id="20" name="Dimensiones">
          <a:extLst>
            <a:ext uri="{FF2B5EF4-FFF2-40B4-BE49-F238E27FC236}">
              <a16:creationId xmlns:a16="http://schemas.microsoft.com/office/drawing/2014/main" id="{00000000-0008-0000-0800-000014000000}"/>
            </a:ext>
          </a:extLst>
        </xdr:cNvPr>
        <xdr:cNvGrpSpPr>
          <a:grpSpLocks noChangeAspect="1"/>
        </xdr:cNvGrpSpPr>
      </xdr:nvGrpSpPr>
      <xdr:grpSpPr>
        <a:xfrm>
          <a:off x="2719919" y="1076855"/>
          <a:ext cx="5662083" cy="383117"/>
          <a:chOff x="2719919" y="1100667"/>
          <a:chExt cx="5662083" cy="383117"/>
        </a:xfrm>
      </xdr:grpSpPr>
      <xdr:sp macro="" textlink="">
        <xdr:nvSpPr>
          <xdr:cNvPr id="21" name="Rectángulo: esquinas diagonales cortadas 20">
            <a:extLst>
              <a:ext uri="{FF2B5EF4-FFF2-40B4-BE49-F238E27FC236}">
                <a16:creationId xmlns:a16="http://schemas.microsoft.com/office/drawing/2014/main" id="{00000000-0008-0000-0800-000015000000}"/>
              </a:ext>
            </a:extLst>
          </xdr:cNvPr>
          <xdr:cNvSpPr/>
        </xdr:nvSpPr>
        <xdr:spPr>
          <a:xfrm flipV="1">
            <a:off x="2921000" y="1100667"/>
            <a:ext cx="5217583" cy="369794"/>
          </a:xfrm>
          <a:prstGeom prst="snip2DiagRect">
            <a:avLst>
              <a:gd name="adj1" fmla="val 0"/>
              <a:gd name="adj2" fmla="val 5000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2" name="CuadroTexto 21">
            <a:extLst>
              <a:ext uri="{FF2B5EF4-FFF2-40B4-BE49-F238E27FC236}">
                <a16:creationId xmlns:a16="http://schemas.microsoft.com/office/drawing/2014/main" id="{00000000-0008-0000-0800-000016000000}"/>
              </a:ext>
            </a:extLst>
          </xdr:cNvPr>
          <xdr:cNvSpPr txBox="1"/>
        </xdr:nvSpPr>
        <xdr:spPr>
          <a:xfrm>
            <a:off x="2719919" y="1134721"/>
            <a:ext cx="5662083" cy="349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a:solidFill>
                  <a:schemeClr val="bg1"/>
                </a:solidFill>
                <a:latin typeface="PT Sans Narrow" panose="020B0506020203020204" pitchFamily="34" charset="0"/>
              </a:rPr>
              <a:t>DIMENSIONES DEL TANQUE</a:t>
            </a:r>
          </a:p>
        </xdr:txBody>
      </xdr:sp>
    </xdr:grpSp>
    <xdr:clientData/>
  </xdr:twoCellAnchor>
  <xdr:twoCellAnchor editAs="absolute">
    <xdr:from>
      <xdr:col>12</xdr:col>
      <xdr:colOff>469278</xdr:colOff>
      <xdr:row>0</xdr:row>
      <xdr:rowOff>21166</xdr:rowOff>
    </xdr:from>
    <xdr:to>
      <xdr:col>15</xdr:col>
      <xdr:colOff>11205</xdr:colOff>
      <xdr:row>5</xdr:row>
      <xdr:rowOff>33618</xdr:rowOff>
    </xdr:to>
    <xdr:grpSp>
      <xdr:nvGrpSpPr>
        <xdr:cNvPr id="45" name="DDM">
          <a:extLst>
            <a:ext uri="{FF2B5EF4-FFF2-40B4-BE49-F238E27FC236}">
              <a16:creationId xmlns:a16="http://schemas.microsoft.com/office/drawing/2014/main" id="{00000000-0008-0000-0800-00002D000000}"/>
            </a:ext>
          </a:extLst>
        </xdr:cNvPr>
        <xdr:cNvGrpSpPr>
          <a:grpSpLocks noChangeAspect="1"/>
        </xdr:cNvGrpSpPr>
      </xdr:nvGrpSpPr>
      <xdr:grpSpPr>
        <a:xfrm>
          <a:off x="9613278" y="21166"/>
          <a:ext cx="1827927" cy="964952"/>
          <a:chOff x="9613278" y="21166"/>
          <a:chExt cx="1827927" cy="964952"/>
        </a:xfrm>
      </xdr:grpSpPr>
      <xdr:sp macro="[0]!DDM" textlink="">
        <xdr:nvSpPr>
          <xdr:cNvPr id="7" name="Pestaña DDM">
            <a:extLst>
              <a:ext uri="{FF2B5EF4-FFF2-40B4-BE49-F238E27FC236}">
                <a16:creationId xmlns:a16="http://schemas.microsoft.com/office/drawing/2014/main" id="{00000000-0008-0000-0800-000007000000}"/>
              </a:ext>
            </a:extLst>
          </xdr:cNvPr>
          <xdr:cNvSpPr/>
        </xdr:nvSpPr>
        <xdr:spPr>
          <a:xfrm flipH="1">
            <a:off x="9613278" y="21166"/>
            <a:ext cx="1810800" cy="964952"/>
          </a:xfrm>
          <a:custGeom>
            <a:avLst/>
            <a:gdLst>
              <a:gd name="connsiteX0" fmla="*/ 289766 w 1739654"/>
              <a:gd name="connsiteY0" fmla="*/ 0 h 857912"/>
              <a:gd name="connsiteX1" fmla="*/ 1153172 w 1739654"/>
              <a:gd name="connsiteY1" fmla="*/ 0 h 857912"/>
              <a:gd name="connsiteX2" fmla="*/ 1171726 w 1739654"/>
              <a:gd name="connsiteY2" fmla="*/ 1871 h 857912"/>
              <a:gd name="connsiteX3" fmla="*/ 1448928 w 1739654"/>
              <a:gd name="connsiteY3" fmla="*/ 279073 h 857912"/>
              <a:gd name="connsiteX4" fmla="*/ 1449888 w 1739654"/>
              <a:gd name="connsiteY4" fmla="*/ 288599 h 857912"/>
              <a:gd name="connsiteX5" fmla="*/ 1449888 w 1739654"/>
              <a:gd name="connsiteY5" fmla="*/ 568146 h 857912"/>
              <a:gd name="connsiteX6" fmla="*/ 1739654 w 1739654"/>
              <a:gd name="connsiteY6" fmla="*/ 857912 h 857912"/>
              <a:gd name="connsiteX7" fmla="*/ 352308 w 1739654"/>
              <a:gd name="connsiteY7" fmla="*/ 857912 h 857912"/>
              <a:gd name="connsiteX8" fmla="*/ 0 w 1739654"/>
              <a:gd name="connsiteY8" fmla="*/ 857912 h 857912"/>
              <a:gd name="connsiteX9" fmla="*/ 0 w 1739654"/>
              <a:gd name="connsiteY9" fmla="*/ 289766 h 857912"/>
              <a:gd name="connsiteX10" fmla="*/ 289766 w 1739654"/>
              <a:gd name="connsiteY10" fmla="*/ 0 h 857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39654" h="857912">
                <a:moveTo>
                  <a:pt x="289766" y="0"/>
                </a:moveTo>
                <a:lnTo>
                  <a:pt x="1153172" y="0"/>
                </a:lnTo>
                <a:lnTo>
                  <a:pt x="1171726" y="1871"/>
                </a:lnTo>
                <a:cubicBezTo>
                  <a:pt x="1310865" y="30343"/>
                  <a:pt x="1420456" y="139933"/>
                  <a:pt x="1448928" y="279073"/>
                </a:cubicBezTo>
                <a:lnTo>
                  <a:pt x="1449888" y="288599"/>
                </a:lnTo>
                <a:lnTo>
                  <a:pt x="1449888" y="568146"/>
                </a:lnTo>
                <a:cubicBezTo>
                  <a:pt x="1449888" y="728179"/>
                  <a:pt x="1579621" y="857912"/>
                  <a:pt x="1739654" y="857912"/>
                </a:cubicBezTo>
                <a:lnTo>
                  <a:pt x="352308" y="857912"/>
                </a:lnTo>
                <a:lnTo>
                  <a:pt x="0" y="857912"/>
                </a:lnTo>
                <a:lnTo>
                  <a:pt x="0" y="289766"/>
                </a:lnTo>
                <a:cubicBezTo>
                  <a:pt x="0" y="129733"/>
                  <a:pt x="129733" y="0"/>
                  <a:pt x="289766" y="0"/>
                </a:cubicBezTo>
                <a:close/>
              </a:path>
            </a:pathLst>
          </a:custGeom>
          <a:solidFill>
            <a:srgbClr val="2B2B6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0]!DDM" textlink="">
        <xdr:nvSpPr>
          <xdr:cNvPr id="19" name="Texto DDM">
            <a:extLst>
              <a:ext uri="{FF2B5EF4-FFF2-40B4-BE49-F238E27FC236}">
                <a16:creationId xmlns:a16="http://schemas.microsoft.com/office/drawing/2014/main" id="{00000000-0008-0000-0800-000013000000}"/>
              </a:ext>
            </a:extLst>
          </xdr:cNvPr>
          <xdr:cNvSpPr txBox="1"/>
        </xdr:nvSpPr>
        <xdr:spPr>
          <a:xfrm>
            <a:off x="9872382" y="106456"/>
            <a:ext cx="1568823" cy="818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solidFill>
                <a:effectLst/>
                <a:latin typeface="PT Sans Narrow" panose="020B0506020203020204" pitchFamily="34" charset="0"/>
                <a:ea typeface="+mn-ea"/>
                <a:cs typeface="+mn-cs"/>
              </a:rPr>
              <a:t>DESPIECE</a:t>
            </a:r>
            <a:endParaRPr lang="es-CO" sz="1400" b="1" i="0" baseline="0">
              <a:solidFill>
                <a:schemeClr val="bg1"/>
              </a:solidFill>
              <a:effectLst/>
              <a:latin typeface="PT Sans Narrow" panose="020B0506020203020204" pitchFamily="34" charset="0"/>
              <a:ea typeface="+mn-ea"/>
              <a:cs typeface="+mn-cs"/>
            </a:endParaRPr>
          </a:p>
          <a:p>
            <a:pPr algn="ctr"/>
            <a:r>
              <a:rPr lang="es-CO" sz="1400" b="1" i="0" baseline="0">
                <a:solidFill>
                  <a:schemeClr val="bg1"/>
                </a:solidFill>
                <a:effectLst/>
                <a:latin typeface="PT Sans Narrow" panose="020B0506020203020204" pitchFamily="34" charset="0"/>
                <a:ea typeface="+mn-ea"/>
                <a:cs typeface="+mn-cs"/>
              </a:rPr>
              <a:t>DE</a:t>
            </a:r>
          </a:p>
          <a:p>
            <a:pPr algn="ctr"/>
            <a:r>
              <a:rPr lang="es-CO" sz="1400" b="1" i="0" baseline="0">
                <a:solidFill>
                  <a:schemeClr val="bg1"/>
                </a:solidFill>
                <a:effectLst/>
                <a:latin typeface="PT Sans Narrow" panose="020B0506020203020204" pitchFamily="34" charset="0"/>
                <a:ea typeface="+mn-ea"/>
                <a:cs typeface="+mn-cs"/>
              </a:rPr>
              <a:t>MATERIAL</a:t>
            </a:r>
            <a:endParaRPr lang="es-CO" sz="1400" b="1">
              <a:solidFill>
                <a:schemeClr val="bg1"/>
              </a:solidFill>
              <a:latin typeface="PT Sans Narrow" panose="020B0506020203020204" pitchFamily="34" charset="0"/>
            </a:endParaRPr>
          </a:p>
        </xdr:txBody>
      </xdr:sp>
    </xdr:grpSp>
    <xdr:clientData/>
  </xdr:twoCellAnchor>
  <xdr:twoCellAnchor editAs="absolute">
    <xdr:from>
      <xdr:col>8</xdr:col>
      <xdr:colOff>582088</xdr:colOff>
      <xdr:row>0</xdr:row>
      <xdr:rowOff>21166</xdr:rowOff>
    </xdr:from>
    <xdr:to>
      <xdr:col>11</xdr:col>
      <xdr:colOff>181464</xdr:colOff>
      <xdr:row>5</xdr:row>
      <xdr:rowOff>31747</xdr:rowOff>
    </xdr:to>
    <xdr:grpSp>
      <xdr:nvGrpSpPr>
        <xdr:cNvPr id="44" name="INF">
          <a:extLst>
            <a:ext uri="{FF2B5EF4-FFF2-40B4-BE49-F238E27FC236}">
              <a16:creationId xmlns:a16="http://schemas.microsoft.com/office/drawing/2014/main" id="{00000000-0008-0000-0800-00002C000000}"/>
            </a:ext>
          </a:extLst>
        </xdr:cNvPr>
        <xdr:cNvGrpSpPr>
          <a:grpSpLocks noChangeAspect="1"/>
        </xdr:cNvGrpSpPr>
      </xdr:nvGrpSpPr>
      <xdr:grpSpPr>
        <a:xfrm>
          <a:off x="6678088" y="21166"/>
          <a:ext cx="1885376" cy="963081"/>
          <a:chOff x="6678088" y="21166"/>
          <a:chExt cx="1885376" cy="963081"/>
        </a:xfrm>
      </xdr:grpSpPr>
      <xdr:sp macro="INF" textlink="">
        <xdr:nvSpPr>
          <xdr:cNvPr id="9" name="Pestaña INF">
            <a:extLst>
              <a:ext uri="{FF2B5EF4-FFF2-40B4-BE49-F238E27FC236}">
                <a16:creationId xmlns:a16="http://schemas.microsoft.com/office/drawing/2014/main" id="{00000000-0008-0000-0800-000009000000}"/>
              </a:ext>
            </a:extLst>
          </xdr:cNvPr>
          <xdr:cNvSpPr/>
        </xdr:nvSpPr>
        <xdr:spPr>
          <a:xfrm flipH="1">
            <a:off x="6678088"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rgbClr val="2B2B62"/>
          </a:solidFill>
          <a:ln w="25400" cap="flat" cmpd="sng" algn="ctr">
            <a:solidFill>
              <a:schemeClr val="bg1">
                <a:lumMod val="100000"/>
              </a:schemeClr>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INF" textlink="">
        <xdr:nvSpPr>
          <xdr:cNvPr id="17" name="Texto INF">
            <a:extLst>
              <a:ext uri="{FF2B5EF4-FFF2-40B4-BE49-F238E27FC236}">
                <a16:creationId xmlns:a16="http://schemas.microsoft.com/office/drawing/2014/main" id="{00000000-0008-0000-0800-000011000000}"/>
              </a:ext>
            </a:extLst>
          </xdr:cNvPr>
          <xdr:cNvSpPr txBox="1"/>
        </xdr:nvSpPr>
        <xdr:spPr>
          <a:xfrm>
            <a:off x="6808693"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lumMod val="100000"/>
                  </a:schemeClr>
                </a:solidFill>
                <a:effectLst/>
                <a:latin typeface="PT Sans Narrow" panose="020B0506020203020204" pitchFamily="34" charset="0"/>
                <a:ea typeface="+mn-ea"/>
                <a:cs typeface="+mn-cs"/>
              </a:rPr>
              <a:t> INFILTRACIÓN</a:t>
            </a:r>
            <a:endParaRPr lang="es-CO" sz="1400" b="1">
              <a:solidFill>
                <a:schemeClr val="bg1">
                  <a:lumMod val="100000"/>
                </a:schemeClr>
              </a:solidFill>
              <a:latin typeface="PT Sans Narrow" panose="020B0506020203020204" pitchFamily="34" charset="0"/>
            </a:endParaRPr>
          </a:p>
        </xdr:txBody>
      </xdr:sp>
    </xdr:grpSp>
    <xdr:clientData/>
  </xdr:twoCellAnchor>
  <xdr:twoCellAnchor editAs="absolute">
    <xdr:from>
      <xdr:col>6</xdr:col>
      <xdr:colOff>592668</xdr:colOff>
      <xdr:row>0</xdr:row>
      <xdr:rowOff>21166</xdr:rowOff>
    </xdr:from>
    <xdr:to>
      <xdr:col>9</xdr:col>
      <xdr:colOff>192044</xdr:colOff>
      <xdr:row>5</xdr:row>
      <xdr:rowOff>31747</xdr:rowOff>
    </xdr:to>
    <xdr:grpSp>
      <xdr:nvGrpSpPr>
        <xdr:cNvPr id="14" name="TDV">
          <a:extLst>
            <a:ext uri="{FF2B5EF4-FFF2-40B4-BE49-F238E27FC236}">
              <a16:creationId xmlns:a16="http://schemas.microsoft.com/office/drawing/2014/main" id="{00000000-0008-0000-0800-00000E000000}"/>
            </a:ext>
          </a:extLst>
        </xdr:cNvPr>
        <xdr:cNvGrpSpPr>
          <a:grpSpLocks noChangeAspect="1"/>
        </xdr:cNvGrpSpPr>
      </xdr:nvGrpSpPr>
      <xdr:grpSpPr>
        <a:xfrm>
          <a:off x="5164668" y="21166"/>
          <a:ext cx="1885376" cy="963081"/>
          <a:chOff x="5164668" y="21166"/>
          <a:chExt cx="1885376" cy="963081"/>
        </a:xfrm>
      </xdr:grpSpPr>
      <xdr:sp macro="[0]!TDV" textlink="">
        <xdr:nvSpPr>
          <xdr:cNvPr id="15" name="Pestaña TDV">
            <a:extLst>
              <a:ext uri="{FF2B5EF4-FFF2-40B4-BE49-F238E27FC236}">
                <a16:creationId xmlns:a16="http://schemas.microsoft.com/office/drawing/2014/main" id="{00000000-0008-0000-0800-00000F000000}"/>
              </a:ext>
            </a:extLst>
          </xdr:cNvPr>
          <xdr:cNvSpPr/>
        </xdr:nvSpPr>
        <xdr:spPr>
          <a:xfrm flipH="1">
            <a:off x="5164668"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rgbClr val="2B2B6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0]!TDV" textlink="">
        <xdr:nvSpPr>
          <xdr:cNvPr id="16" name="Texto TDV">
            <a:extLst>
              <a:ext uri="{FF2B5EF4-FFF2-40B4-BE49-F238E27FC236}">
                <a16:creationId xmlns:a16="http://schemas.microsoft.com/office/drawing/2014/main" id="{00000000-0008-0000-0800-000010000000}"/>
              </a:ext>
            </a:extLst>
          </xdr:cNvPr>
          <xdr:cNvSpPr txBox="1"/>
        </xdr:nvSpPr>
        <xdr:spPr>
          <a:xfrm>
            <a:off x="5311589" y="106456"/>
            <a:ext cx="1568823" cy="818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solidFill>
                <a:effectLst/>
                <a:latin typeface="PT Sans Narrow" panose="020B0506020203020204" pitchFamily="34" charset="0"/>
                <a:ea typeface="+mn-ea"/>
                <a:cs typeface="+mn-cs"/>
              </a:rPr>
              <a:t>TIEMPO</a:t>
            </a:r>
            <a:endParaRPr lang="es-CO" sz="1400" b="1" i="0" baseline="0">
              <a:solidFill>
                <a:schemeClr val="bg1"/>
              </a:solidFill>
              <a:effectLst/>
              <a:latin typeface="PT Sans Narrow" panose="020B0506020203020204" pitchFamily="34" charset="0"/>
              <a:ea typeface="+mn-ea"/>
              <a:cs typeface="+mn-cs"/>
            </a:endParaRPr>
          </a:p>
          <a:p>
            <a:pPr algn="ctr"/>
            <a:r>
              <a:rPr lang="es-CO" sz="1400" b="1" i="0" baseline="0">
                <a:solidFill>
                  <a:schemeClr val="bg1"/>
                </a:solidFill>
                <a:effectLst/>
                <a:latin typeface="PT Sans Narrow" panose="020B0506020203020204" pitchFamily="34" charset="0"/>
                <a:ea typeface="+mn-ea"/>
                <a:cs typeface="+mn-cs"/>
              </a:rPr>
              <a:t>DE</a:t>
            </a:r>
          </a:p>
          <a:p>
            <a:pPr algn="ctr"/>
            <a:r>
              <a:rPr lang="es-CO" sz="1400" b="1" i="0" baseline="0">
                <a:solidFill>
                  <a:schemeClr val="bg1"/>
                </a:solidFill>
                <a:effectLst/>
                <a:latin typeface="PT Sans Narrow" panose="020B0506020203020204" pitchFamily="34" charset="0"/>
                <a:ea typeface="+mn-ea"/>
                <a:cs typeface="+mn-cs"/>
              </a:rPr>
              <a:t>VACIADO</a:t>
            </a:r>
            <a:endParaRPr lang="es-CO" sz="1400" b="1">
              <a:solidFill>
                <a:schemeClr val="bg1"/>
              </a:solidFill>
              <a:latin typeface="PT Sans Narrow" panose="020B0506020203020204" pitchFamily="34" charset="0"/>
            </a:endParaRPr>
          </a:p>
        </xdr:txBody>
      </xdr:sp>
    </xdr:grpSp>
    <xdr:clientData/>
  </xdr:twoCellAnchor>
  <xdr:twoCellAnchor editAs="absolute">
    <xdr:from>
      <xdr:col>4</xdr:col>
      <xdr:colOff>705970</xdr:colOff>
      <xdr:row>0</xdr:row>
      <xdr:rowOff>21167</xdr:rowOff>
    </xdr:from>
    <xdr:to>
      <xdr:col>7</xdr:col>
      <xdr:colOff>285749</xdr:colOff>
      <xdr:row>5</xdr:row>
      <xdr:rowOff>44825</xdr:rowOff>
    </xdr:to>
    <xdr:grpSp>
      <xdr:nvGrpSpPr>
        <xdr:cNvPr id="11" name="D">
          <a:extLst>
            <a:ext uri="{FF2B5EF4-FFF2-40B4-BE49-F238E27FC236}">
              <a16:creationId xmlns:a16="http://schemas.microsoft.com/office/drawing/2014/main" id="{00000000-0008-0000-0800-00000B000000}"/>
            </a:ext>
          </a:extLst>
        </xdr:cNvPr>
        <xdr:cNvGrpSpPr>
          <a:grpSpLocks noChangeAspect="1"/>
        </xdr:cNvGrpSpPr>
      </xdr:nvGrpSpPr>
      <xdr:grpSpPr>
        <a:xfrm>
          <a:off x="3753970" y="21167"/>
          <a:ext cx="1865779" cy="976158"/>
          <a:chOff x="3753970" y="21167"/>
          <a:chExt cx="1865779" cy="976158"/>
        </a:xfrm>
        <a:solidFill>
          <a:srgbClr val="2B2B62"/>
        </a:solidFill>
      </xdr:grpSpPr>
      <xdr:sp macro="[0]!D" textlink="">
        <xdr:nvSpPr>
          <xdr:cNvPr id="12" name="Pestaña D">
            <a:extLst>
              <a:ext uri="{FF2B5EF4-FFF2-40B4-BE49-F238E27FC236}">
                <a16:creationId xmlns:a16="http://schemas.microsoft.com/office/drawing/2014/main" id="{00000000-0008-0000-0800-00000C000000}"/>
              </a:ext>
            </a:extLst>
          </xdr:cNvPr>
          <xdr:cNvSpPr/>
        </xdr:nvSpPr>
        <xdr:spPr>
          <a:xfrm>
            <a:off x="3810000" y="21167"/>
            <a:ext cx="1809749" cy="976158"/>
          </a:xfrm>
          <a:custGeom>
            <a:avLst/>
            <a:gdLst>
              <a:gd name="connsiteX0" fmla="*/ 289766 w 1739654"/>
              <a:gd name="connsiteY0" fmla="*/ 0 h 857912"/>
              <a:gd name="connsiteX1" fmla="*/ 1153172 w 1739654"/>
              <a:gd name="connsiteY1" fmla="*/ 0 h 857912"/>
              <a:gd name="connsiteX2" fmla="*/ 1171726 w 1739654"/>
              <a:gd name="connsiteY2" fmla="*/ 1871 h 857912"/>
              <a:gd name="connsiteX3" fmla="*/ 1448928 w 1739654"/>
              <a:gd name="connsiteY3" fmla="*/ 279073 h 857912"/>
              <a:gd name="connsiteX4" fmla="*/ 1449888 w 1739654"/>
              <a:gd name="connsiteY4" fmla="*/ 288599 h 857912"/>
              <a:gd name="connsiteX5" fmla="*/ 1449888 w 1739654"/>
              <a:gd name="connsiteY5" fmla="*/ 568146 h 857912"/>
              <a:gd name="connsiteX6" fmla="*/ 1739654 w 1739654"/>
              <a:gd name="connsiteY6" fmla="*/ 857912 h 857912"/>
              <a:gd name="connsiteX7" fmla="*/ 352308 w 1739654"/>
              <a:gd name="connsiteY7" fmla="*/ 857912 h 857912"/>
              <a:gd name="connsiteX8" fmla="*/ 0 w 1739654"/>
              <a:gd name="connsiteY8" fmla="*/ 857912 h 857912"/>
              <a:gd name="connsiteX9" fmla="*/ 0 w 1739654"/>
              <a:gd name="connsiteY9" fmla="*/ 289766 h 857912"/>
              <a:gd name="connsiteX10" fmla="*/ 289766 w 1739654"/>
              <a:gd name="connsiteY10" fmla="*/ 0 h 857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1739654" h="857912">
                <a:moveTo>
                  <a:pt x="289766" y="0"/>
                </a:moveTo>
                <a:lnTo>
                  <a:pt x="1153172" y="0"/>
                </a:lnTo>
                <a:lnTo>
                  <a:pt x="1171726" y="1871"/>
                </a:lnTo>
                <a:cubicBezTo>
                  <a:pt x="1310865" y="30343"/>
                  <a:pt x="1420456" y="139933"/>
                  <a:pt x="1448928" y="279073"/>
                </a:cubicBezTo>
                <a:lnTo>
                  <a:pt x="1449888" y="288599"/>
                </a:lnTo>
                <a:lnTo>
                  <a:pt x="1449888" y="568146"/>
                </a:lnTo>
                <a:cubicBezTo>
                  <a:pt x="1449888" y="728179"/>
                  <a:pt x="1579621" y="857912"/>
                  <a:pt x="1739654" y="857912"/>
                </a:cubicBezTo>
                <a:lnTo>
                  <a:pt x="352308" y="857912"/>
                </a:lnTo>
                <a:lnTo>
                  <a:pt x="0" y="857912"/>
                </a:lnTo>
                <a:lnTo>
                  <a:pt x="0" y="289766"/>
                </a:lnTo>
                <a:cubicBezTo>
                  <a:pt x="0" y="129733"/>
                  <a:pt x="129733" y="0"/>
                  <a:pt x="289766" y="0"/>
                </a:cubicBezTo>
                <a:close/>
              </a:path>
            </a:pathLst>
          </a:cu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0]!D" textlink="">
        <xdr:nvSpPr>
          <xdr:cNvPr id="13" name="Texto D">
            <a:extLst>
              <a:ext uri="{FF2B5EF4-FFF2-40B4-BE49-F238E27FC236}">
                <a16:creationId xmlns:a16="http://schemas.microsoft.com/office/drawing/2014/main" id="{00000000-0008-0000-0800-00000D000000}"/>
              </a:ext>
            </a:extLst>
          </xdr:cNvPr>
          <xdr:cNvSpPr txBox="1"/>
        </xdr:nvSpPr>
        <xdr:spPr>
          <a:xfrm>
            <a:off x="3753970"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chemeClr val="bg1"/>
                </a:solidFill>
                <a:effectLst/>
                <a:latin typeface="PT Sans Narrow" panose="020B0506020203020204" pitchFamily="34" charset="0"/>
                <a:ea typeface="+mn-ea"/>
                <a:cs typeface="+mn-cs"/>
              </a:rPr>
              <a:t>DIMENSIONAMIENTO</a:t>
            </a:r>
            <a:endParaRPr lang="es-CO" sz="1400" b="1">
              <a:solidFill>
                <a:schemeClr val="bg1"/>
              </a:solidFill>
              <a:latin typeface="PT Sans Narrow" panose="020B0506020203020204" pitchFamily="34" charset="0"/>
            </a:endParaRPr>
          </a:p>
        </xdr:txBody>
      </xdr:sp>
    </xdr:grpSp>
    <xdr:clientData/>
  </xdr:twoCellAnchor>
  <xdr:twoCellAnchor editAs="absolute">
    <xdr:from>
      <xdr:col>10</xdr:col>
      <xdr:colOff>572123</xdr:colOff>
      <xdr:row>0</xdr:row>
      <xdr:rowOff>21166</xdr:rowOff>
    </xdr:from>
    <xdr:to>
      <xdr:col>13</xdr:col>
      <xdr:colOff>171499</xdr:colOff>
      <xdr:row>5</xdr:row>
      <xdr:rowOff>31747</xdr:rowOff>
    </xdr:to>
    <xdr:grpSp>
      <xdr:nvGrpSpPr>
        <xdr:cNvPr id="26" name="FL">
          <a:extLst>
            <a:ext uri="{FF2B5EF4-FFF2-40B4-BE49-F238E27FC236}">
              <a16:creationId xmlns:a16="http://schemas.microsoft.com/office/drawing/2014/main" id="{00000000-0008-0000-0800-00001A000000}"/>
            </a:ext>
          </a:extLst>
        </xdr:cNvPr>
        <xdr:cNvGrpSpPr>
          <a:grpSpLocks noChangeAspect="1"/>
        </xdr:cNvGrpSpPr>
      </xdr:nvGrpSpPr>
      <xdr:grpSpPr>
        <a:xfrm>
          <a:off x="8192123" y="21166"/>
          <a:ext cx="1885376" cy="963081"/>
          <a:chOff x="8192123" y="21166"/>
          <a:chExt cx="1885376" cy="963081"/>
        </a:xfrm>
      </xdr:grpSpPr>
      <xdr:sp macro="" textlink="">
        <xdr:nvSpPr>
          <xdr:cNvPr id="8" name="Pestaña FL">
            <a:extLst>
              <a:ext uri="{FF2B5EF4-FFF2-40B4-BE49-F238E27FC236}">
                <a16:creationId xmlns:a16="http://schemas.microsoft.com/office/drawing/2014/main" id="{00000000-0008-0000-0800-000008000000}"/>
              </a:ext>
            </a:extLst>
          </xdr:cNvPr>
          <xdr:cNvSpPr/>
        </xdr:nvSpPr>
        <xdr:spPr>
          <a:xfrm flipH="1">
            <a:off x="8192123" y="21166"/>
            <a:ext cx="1885376" cy="963081"/>
          </a:xfrm>
          <a:custGeom>
            <a:avLst/>
            <a:gdLst>
              <a:gd name="connsiteX0" fmla="*/ 1392153 w 1885376"/>
              <a:gd name="connsiteY0" fmla="*/ 0 h 851193"/>
              <a:gd name="connsiteX1" fmla="*/ 528747 w 1885376"/>
              <a:gd name="connsiteY1" fmla="*/ 0 h 851193"/>
              <a:gd name="connsiteX2" fmla="*/ 510193 w 1885376"/>
              <a:gd name="connsiteY2" fmla="*/ 1871 h 851193"/>
              <a:gd name="connsiteX3" fmla="*/ 477608 w 1885376"/>
              <a:gd name="connsiteY3" fmla="*/ 11114 h 851193"/>
              <a:gd name="connsiteX4" fmla="*/ 461765 w 1885376"/>
              <a:gd name="connsiteY4" fmla="*/ 12711 h 851193"/>
              <a:gd name="connsiteX5" fmla="*/ 230397 w 1885376"/>
              <a:gd name="connsiteY5" fmla="*/ 296590 h 851193"/>
              <a:gd name="connsiteX6" fmla="*/ 230397 w 1885376"/>
              <a:gd name="connsiteY6" fmla="*/ 584355 h 851193"/>
              <a:gd name="connsiteX7" fmla="*/ 226144 w 1885376"/>
              <a:gd name="connsiteY7" fmla="*/ 626544 h 851193"/>
              <a:gd name="connsiteX8" fmla="*/ 75740 w 1885376"/>
              <a:gd name="connsiteY8" fmla="*/ 825407 h 851193"/>
              <a:gd name="connsiteX9" fmla="*/ 0 w 1885376"/>
              <a:gd name="connsiteY9" fmla="*/ 851193 h 851193"/>
              <a:gd name="connsiteX10" fmla="*/ 1885376 w 1885376"/>
              <a:gd name="connsiteY10" fmla="*/ 851193 h 851193"/>
              <a:gd name="connsiteX11" fmla="*/ 1870420 w 1885376"/>
              <a:gd name="connsiteY11" fmla="*/ 847153 h 851193"/>
              <a:gd name="connsiteX12" fmla="*/ 1686172 w 1885376"/>
              <a:gd name="connsiteY12" fmla="*/ 633368 h 851193"/>
              <a:gd name="connsiteX13" fmla="*/ 1681919 w 1885376"/>
              <a:gd name="connsiteY13" fmla="*/ 591179 h 851193"/>
              <a:gd name="connsiteX14" fmla="*/ 1681919 w 1885376"/>
              <a:gd name="connsiteY14" fmla="*/ 289766 h 851193"/>
              <a:gd name="connsiteX15" fmla="*/ 1392153 w 1885376"/>
              <a:gd name="connsiteY15" fmla="*/ 0 h 85119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1885376" h="851193">
                <a:moveTo>
                  <a:pt x="1392153" y="0"/>
                </a:moveTo>
                <a:lnTo>
                  <a:pt x="528747" y="0"/>
                </a:lnTo>
                <a:lnTo>
                  <a:pt x="510193" y="1871"/>
                </a:lnTo>
                <a:lnTo>
                  <a:pt x="477608" y="11114"/>
                </a:lnTo>
                <a:lnTo>
                  <a:pt x="461765" y="12711"/>
                </a:lnTo>
                <a:cubicBezTo>
                  <a:pt x="329724" y="39731"/>
                  <a:pt x="230397" y="156561"/>
                  <a:pt x="230397" y="296590"/>
                </a:cubicBezTo>
                <a:lnTo>
                  <a:pt x="230397" y="584355"/>
                </a:lnTo>
                <a:lnTo>
                  <a:pt x="226144" y="626544"/>
                </a:lnTo>
                <a:cubicBezTo>
                  <a:pt x="208412" y="713196"/>
                  <a:pt x="152002" y="785759"/>
                  <a:pt x="75740" y="825407"/>
                </a:cubicBezTo>
                <a:lnTo>
                  <a:pt x="0" y="851193"/>
                </a:lnTo>
                <a:lnTo>
                  <a:pt x="1885376" y="851193"/>
                </a:lnTo>
                <a:lnTo>
                  <a:pt x="1870420" y="847153"/>
                </a:lnTo>
                <a:cubicBezTo>
                  <a:pt x="1777220" y="813028"/>
                  <a:pt x="1706437" y="732399"/>
                  <a:pt x="1686172" y="633368"/>
                </a:cubicBezTo>
                <a:lnTo>
                  <a:pt x="1681919" y="591179"/>
                </a:lnTo>
                <a:lnTo>
                  <a:pt x="1681919" y="289766"/>
                </a:lnTo>
                <a:cubicBezTo>
                  <a:pt x="1681919" y="129733"/>
                  <a:pt x="1552186" y="0"/>
                  <a:pt x="1392153" y="0"/>
                </a:cubicBezTo>
                <a:close/>
              </a:path>
            </a:pathLst>
          </a:cu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s-CO" sz="1100"/>
          </a:p>
        </xdr:txBody>
      </xdr:sp>
      <xdr:sp macro="" textlink="">
        <xdr:nvSpPr>
          <xdr:cNvPr id="18" name="Texto FL">
            <a:extLst>
              <a:ext uri="{FF2B5EF4-FFF2-40B4-BE49-F238E27FC236}">
                <a16:creationId xmlns:a16="http://schemas.microsoft.com/office/drawing/2014/main" id="{00000000-0008-0000-0800-000012000000}"/>
              </a:ext>
            </a:extLst>
          </xdr:cNvPr>
          <xdr:cNvSpPr txBox="1"/>
        </xdr:nvSpPr>
        <xdr:spPr>
          <a:xfrm>
            <a:off x="8303559" y="347382"/>
            <a:ext cx="1568823"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400" b="1" i="0">
                <a:solidFill>
                  <a:srgbClr val="00B050"/>
                </a:solidFill>
                <a:effectLst/>
                <a:latin typeface="PT Sans Narrow" panose="020B0506020203020204" pitchFamily="34" charset="0"/>
                <a:ea typeface="+mn-ea"/>
                <a:cs typeface="+mn-cs"/>
              </a:rPr>
              <a:t> FLOTACIÓN</a:t>
            </a:r>
            <a:endParaRPr lang="es-CO" sz="1400" b="1">
              <a:solidFill>
                <a:srgbClr val="00B050"/>
              </a:solidFill>
              <a:latin typeface="PT Sans Narrow" panose="020B0506020203020204" pitchFamily="34" charset="0"/>
            </a:endParaRPr>
          </a:p>
        </xdr:txBody>
      </xdr:sp>
    </xdr:grpSp>
    <xdr:clientData/>
  </xdr:twoCellAnchor>
  <xdr:twoCellAnchor editAs="absolute">
    <xdr:from>
      <xdr:col>6</xdr:col>
      <xdr:colOff>674374</xdr:colOff>
      <xdr:row>19</xdr:row>
      <xdr:rowOff>172783</xdr:rowOff>
    </xdr:from>
    <xdr:to>
      <xdr:col>13</xdr:col>
      <xdr:colOff>164304</xdr:colOff>
      <xdr:row>35</xdr:row>
      <xdr:rowOff>148167</xdr:rowOff>
    </xdr:to>
    <xdr:pic>
      <xdr:nvPicPr>
        <xdr:cNvPr id="57" name="Imagen 56">
          <a:extLst>
            <a:ext uri="{FF2B5EF4-FFF2-40B4-BE49-F238E27FC236}">
              <a16:creationId xmlns:a16="http://schemas.microsoft.com/office/drawing/2014/main" id="{00000000-0008-0000-0800-00003900000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16434"/>
        <a:stretch/>
      </xdr:blipFill>
      <xdr:spPr>
        <a:xfrm>
          <a:off x="5246374" y="3792283"/>
          <a:ext cx="4823930" cy="30233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PRECIOS" displayName="PRECIOS" ref="A1:C2672" totalsRowShown="0" headerRowDxfId="4" dataDxfId="3">
  <autoFilter ref="A1:C2672" xr:uid="{00000000-0009-0000-0100-000001000000}"/>
  <tableColumns count="3">
    <tableColumn id="1" xr3:uid="{00000000-0010-0000-0000-000001000000}" name="REFENCIA" dataDxfId="2"/>
    <tableColumn id="2" xr3:uid="{00000000-0010-0000-0000-000002000000}" name="ITEM" dataDxfId="1"/>
    <tableColumn id="4" xr3:uid="{00000000-0010-0000-0000-000004000000}" name="PRECIO" dataDxfId="0" dataCellStyle="Moneda"/>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juan.zambrano@wavin.com" TargetMode="External"/><Relationship Id="rId1" Type="http://schemas.openxmlformats.org/officeDocument/2006/relationships/hyperlink" Target="mailto:juan.zambrano@wavin.com"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juan.zambrano@wavin.com" TargetMode="External"/><Relationship Id="rId1" Type="http://schemas.openxmlformats.org/officeDocument/2006/relationships/hyperlink" Target="mailto:juan.zambrano@wavin.com"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5DF3E-852B-43C4-BAC2-6ADEEDDA62FF}">
  <sheetPr codeName="Hoja22">
    <pageSetUpPr autoPageBreaks="0"/>
  </sheetPr>
  <dimension ref="A1:S56"/>
  <sheetViews>
    <sheetView showGridLines="0" showRowColHeaders="0" tabSelected="1" zoomScale="80" zoomScaleNormal="80" workbookViewId="0">
      <selection activeCell="Q26" sqref="Q26"/>
    </sheetView>
  </sheetViews>
  <sheetFormatPr baseColWidth="10" defaultColWidth="0" defaultRowHeight="15" zeroHeight="1" x14ac:dyDescent="0.25"/>
  <cols>
    <col min="1" max="17" width="11.42578125" style="120" customWidth="1"/>
    <col min="18" max="18" width="15.85546875" style="120" customWidth="1"/>
    <col min="19" max="21" width="11.42578125" style="120" hidden="1" customWidth="1"/>
    <col min="22" max="16384" width="11.42578125" style="120" hidden="1"/>
  </cols>
  <sheetData>
    <row r="1" spans="1:19" ht="15" customHeight="1" x14ac:dyDescent="1.05">
      <c r="A1" s="297" t="s">
        <v>0</v>
      </c>
      <c r="B1" s="297"/>
      <c r="C1" s="297"/>
      <c r="D1" s="297"/>
      <c r="E1" s="215"/>
      <c r="F1" s="128"/>
      <c r="G1" s="128"/>
      <c r="H1" s="128"/>
      <c r="I1" s="128"/>
      <c r="J1" s="128"/>
      <c r="K1" s="128"/>
      <c r="L1" s="128"/>
      <c r="M1" s="128"/>
      <c r="N1" s="128"/>
      <c r="O1" s="298" t="s">
        <v>1</v>
      </c>
      <c r="P1" s="298"/>
      <c r="Q1" s="298"/>
      <c r="R1" s="298"/>
      <c r="S1" s="121"/>
    </row>
    <row r="2" spans="1:19" ht="15" customHeight="1" x14ac:dyDescent="1.05">
      <c r="A2" s="297"/>
      <c r="B2" s="297"/>
      <c r="C2" s="297"/>
      <c r="D2" s="297"/>
      <c r="E2" s="215"/>
      <c r="F2" s="128"/>
      <c r="G2" s="128"/>
      <c r="H2" s="128"/>
      <c r="I2" s="128"/>
      <c r="J2" s="128"/>
      <c r="K2" s="128"/>
      <c r="L2" s="128"/>
      <c r="M2" s="128"/>
      <c r="N2" s="128"/>
      <c r="O2" s="298"/>
      <c r="P2" s="298"/>
      <c r="Q2" s="298"/>
      <c r="R2" s="298"/>
      <c r="S2" s="121"/>
    </row>
    <row r="3" spans="1:19" ht="15" customHeight="1" x14ac:dyDescent="1.05">
      <c r="A3" s="297"/>
      <c r="B3" s="297"/>
      <c r="C3" s="297"/>
      <c r="D3" s="297"/>
      <c r="E3" s="215"/>
      <c r="F3" s="128"/>
      <c r="G3" s="128"/>
      <c r="H3" s="128"/>
      <c r="I3" s="128"/>
      <c r="J3" s="128"/>
      <c r="K3" s="128"/>
      <c r="L3" s="128"/>
      <c r="M3" s="128"/>
      <c r="N3" s="128"/>
      <c r="O3" s="298"/>
      <c r="P3" s="298"/>
      <c r="Q3" s="298"/>
      <c r="R3" s="298"/>
      <c r="S3" s="121"/>
    </row>
    <row r="4" spans="1:19" ht="15" customHeight="1" x14ac:dyDescent="1.05">
      <c r="A4" s="297"/>
      <c r="B4" s="297"/>
      <c r="C4" s="297"/>
      <c r="D4" s="297"/>
      <c r="E4" s="215"/>
      <c r="F4" s="128"/>
      <c r="G4" s="128"/>
      <c r="H4" s="128"/>
      <c r="I4" s="128"/>
      <c r="J4" s="128"/>
      <c r="K4" s="128"/>
      <c r="L4" s="128"/>
      <c r="M4" s="128"/>
      <c r="N4" s="128"/>
      <c r="O4" s="298"/>
      <c r="P4" s="298"/>
      <c r="Q4" s="298"/>
      <c r="R4" s="298"/>
      <c r="S4" s="121"/>
    </row>
    <row r="5" spans="1:19" ht="15" customHeight="1" x14ac:dyDescent="1.05">
      <c r="A5" s="297"/>
      <c r="B5" s="297"/>
      <c r="C5" s="297"/>
      <c r="D5" s="297"/>
      <c r="E5" s="215"/>
      <c r="F5" s="128"/>
      <c r="G5" s="128"/>
      <c r="H5" s="128"/>
      <c r="I5" s="128"/>
      <c r="J5" s="128"/>
      <c r="K5" s="128"/>
      <c r="L5" s="128"/>
      <c r="M5" s="128"/>
      <c r="N5" s="128"/>
      <c r="O5" s="298"/>
      <c r="P5" s="298"/>
      <c r="Q5" s="298"/>
      <c r="R5" s="298"/>
      <c r="S5" s="121"/>
    </row>
    <row r="6" spans="1:19" ht="15" customHeight="1" x14ac:dyDescent="1.05">
      <c r="A6" s="297"/>
      <c r="B6" s="297"/>
      <c r="C6" s="297"/>
      <c r="D6" s="297"/>
      <c r="E6" s="215"/>
      <c r="F6" s="128"/>
      <c r="G6" s="128"/>
      <c r="H6" s="128"/>
      <c r="I6" s="128"/>
      <c r="J6" s="128"/>
      <c r="K6" s="128"/>
      <c r="L6" s="128"/>
      <c r="M6" s="128"/>
      <c r="N6" s="128"/>
      <c r="O6" s="298"/>
      <c r="P6" s="298"/>
      <c r="Q6" s="298"/>
      <c r="R6" s="298"/>
      <c r="S6" s="121"/>
    </row>
    <row r="7" spans="1:19" ht="15" customHeight="1" x14ac:dyDescent="0.95">
      <c r="A7" s="299" t="s">
        <v>2</v>
      </c>
      <c r="B7" s="299"/>
      <c r="C7" s="299"/>
      <c r="D7" s="299"/>
      <c r="E7" s="299"/>
      <c r="F7" s="128"/>
      <c r="G7" s="128"/>
      <c r="H7" s="128"/>
      <c r="I7" s="128"/>
      <c r="J7" s="128"/>
      <c r="K7" s="128"/>
      <c r="L7" s="128"/>
      <c r="M7" s="128"/>
      <c r="N7" s="128"/>
      <c r="O7" s="298"/>
      <c r="P7" s="298"/>
      <c r="Q7" s="298"/>
      <c r="R7" s="298"/>
      <c r="S7" s="121"/>
    </row>
    <row r="8" spans="1:19" ht="15" customHeight="1" x14ac:dyDescent="0.95">
      <c r="A8" s="299"/>
      <c r="B8" s="299"/>
      <c r="C8" s="299"/>
      <c r="D8" s="299"/>
      <c r="E8" s="299"/>
      <c r="F8" s="128"/>
      <c r="G8" s="128"/>
      <c r="H8" s="128"/>
      <c r="I8" s="128"/>
      <c r="J8" s="128"/>
      <c r="K8" s="128"/>
      <c r="L8" s="128"/>
      <c r="M8" s="128"/>
      <c r="N8" s="128"/>
      <c r="O8" s="298"/>
      <c r="P8" s="298"/>
      <c r="Q8" s="298"/>
      <c r="R8" s="298"/>
      <c r="S8" s="121"/>
    </row>
    <row r="9" spans="1:19" ht="15" customHeight="1" x14ac:dyDescent="0.95">
      <c r="A9" s="299"/>
      <c r="B9" s="299"/>
      <c r="C9" s="299"/>
      <c r="D9" s="299"/>
      <c r="E9" s="299"/>
      <c r="F9" s="128"/>
      <c r="G9" s="128"/>
      <c r="H9" s="128"/>
      <c r="I9" s="128"/>
      <c r="J9" s="128"/>
      <c r="K9" s="128"/>
      <c r="L9" s="128"/>
      <c r="M9" s="128"/>
      <c r="N9" s="128"/>
      <c r="O9" s="298"/>
      <c r="P9" s="298"/>
      <c r="Q9" s="298"/>
      <c r="R9" s="298"/>
      <c r="S9" s="121"/>
    </row>
    <row r="10" spans="1:19" ht="15" customHeight="1" x14ac:dyDescent="0.95">
      <c r="A10" s="299"/>
      <c r="B10" s="299"/>
      <c r="C10" s="299"/>
      <c r="D10" s="299"/>
      <c r="E10" s="299"/>
      <c r="F10" s="128"/>
      <c r="G10" s="128"/>
      <c r="H10" s="128"/>
      <c r="I10" s="128"/>
      <c r="J10" s="128"/>
      <c r="K10" s="128"/>
      <c r="L10" s="128"/>
      <c r="M10" s="128"/>
      <c r="N10" s="128"/>
      <c r="O10" s="298"/>
      <c r="P10" s="298"/>
      <c r="Q10" s="298"/>
      <c r="R10" s="298"/>
      <c r="S10" s="121"/>
    </row>
    <row r="11" spans="1:19" ht="15" customHeight="1" x14ac:dyDescent="0.25">
      <c r="A11" s="299"/>
      <c r="B11" s="299"/>
      <c r="C11" s="299"/>
      <c r="D11" s="299"/>
      <c r="E11" s="299"/>
      <c r="F11" s="129"/>
      <c r="G11" s="129"/>
      <c r="H11" s="129"/>
      <c r="I11" s="129"/>
      <c r="J11" s="129"/>
      <c r="K11" s="129"/>
      <c r="L11" s="129"/>
      <c r="M11" s="129"/>
      <c r="N11" s="128"/>
      <c r="O11" s="298"/>
      <c r="P11" s="298"/>
      <c r="Q11" s="298"/>
      <c r="R11" s="298"/>
    </row>
    <row r="12" spans="1:19" ht="15" customHeight="1" x14ac:dyDescent="0.25">
      <c r="A12" s="299"/>
      <c r="B12" s="299"/>
      <c r="C12" s="299"/>
      <c r="D12" s="299"/>
      <c r="E12" s="299"/>
      <c r="F12" s="129"/>
      <c r="G12" s="129"/>
      <c r="H12" s="129"/>
      <c r="I12" s="129"/>
      <c r="J12" s="129"/>
      <c r="K12" s="129"/>
      <c r="L12" s="129"/>
      <c r="M12" s="129"/>
      <c r="N12" s="128"/>
      <c r="O12" s="298"/>
      <c r="P12" s="298"/>
      <c r="Q12" s="298"/>
      <c r="R12" s="298"/>
    </row>
    <row r="13" spans="1:19" ht="15" customHeight="1" x14ac:dyDescent="0.25">
      <c r="A13" s="123"/>
      <c r="B13" s="123"/>
      <c r="C13" s="123"/>
      <c r="D13" s="123"/>
      <c r="F13" s="129"/>
      <c r="G13" s="129"/>
      <c r="H13" s="129"/>
      <c r="I13" s="129"/>
      <c r="J13" s="129"/>
      <c r="K13" s="129"/>
      <c r="L13" s="129"/>
      <c r="M13" s="129"/>
      <c r="N13" s="128"/>
      <c r="O13" s="298"/>
      <c r="P13" s="298"/>
      <c r="Q13" s="298"/>
      <c r="R13" s="298"/>
    </row>
    <row r="14" spans="1:19" ht="15" customHeight="1" x14ac:dyDescent="0.25">
      <c r="A14" s="123"/>
      <c r="B14" s="123"/>
      <c r="C14" s="123"/>
      <c r="D14" s="123"/>
      <c r="F14" s="130"/>
      <c r="G14" s="130"/>
      <c r="H14" s="130"/>
      <c r="I14" s="130"/>
      <c r="J14" s="130"/>
      <c r="K14" s="130"/>
      <c r="L14" s="130"/>
      <c r="M14" s="130"/>
      <c r="N14" s="128"/>
      <c r="O14" s="298"/>
      <c r="P14" s="298"/>
      <c r="Q14" s="298"/>
      <c r="R14" s="298"/>
    </row>
    <row r="15" spans="1:19" ht="15" customHeight="1" x14ac:dyDescent="0.25">
      <c r="A15" s="123"/>
      <c r="B15" s="123"/>
      <c r="C15" s="123"/>
      <c r="D15" s="123"/>
      <c r="F15" s="130"/>
      <c r="G15" s="130"/>
      <c r="H15" s="130"/>
      <c r="I15" s="130"/>
      <c r="J15" s="130"/>
      <c r="K15" s="130"/>
      <c r="L15" s="130"/>
      <c r="M15" s="130"/>
      <c r="N15" s="128"/>
      <c r="O15" s="298"/>
      <c r="P15" s="298"/>
      <c r="Q15" s="298"/>
      <c r="R15" s="298"/>
    </row>
    <row r="16" spans="1:19" ht="15" customHeight="1" x14ac:dyDescent="0.25">
      <c r="A16" s="123"/>
      <c r="B16" s="123"/>
      <c r="C16" s="123"/>
      <c r="D16" s="123"/>
      <c r="F16" s="130"/>
      <c r="G16" s="130"/>
      <c r="H16" s="130"/>
      <c r="I16" s="130"/>
      <c r="J16" s="130"/>
      <c r="K16" s="130"/>
      <c r="L16" s="130"/>
      <c r="M16" s="130"/>
      <c r="N16" s="128"/>
      <c r="O16" s="298"/>
      <c r="P16" s="298"/>
      <c r="Q16" s="298"/>
      <c r="R16" s="298"/>
    </row>
    <row r="17" spans="1:18" ht="15" customHeight="1" x14ac:dyDescent="0.25">
      <c r="A17" s="123"/>
      <c r="B17" s="123"/>
      <c r="C17" s="123"/>
      <c r="D17" s="123"/>
      <c r="F17" s="130"/>
      <c r="G17" s="130"/>
      <c r="H17" s="130"/>
      <c r="I17" s="130"/>
      <c r="J17" s="130"/>
      <c r="K17" s="130"/>
      <c r="L17" s="130"/>
      <c r="M17" s="130"/>
      <c r="N17" s="128"/>
      <c r="O17" s="298"/>
      <c r="P17" s="298"/>
      <c r="Q17" s="298"/>
      <c r="R17" s="298"/>
    </row>
    <row r="18" spans="1:18" ht="15" customHeight="1" x14ac:dyDescent="0.25">
      <c r="A18" s="123"/>
      <c r="B18" s="123"/>
      <c r="C18" s="123"/>
      <c r="D18" s="123"/>
      <c r="F18" s="130"/>
      <c r="G18" s="130"/>
      <c r="H18" s="130"/>
      <c r="I18" s="130"/>
      <c r="J18" s="130"/>
      <c r="K18" s="130"/>
      <c r="L18" s="130"/>
      <c r="M18" s="130"/>
      <c r="N18" s="128"/>
      <c r="O18" s="298"/>
      <c r="P18" s="298"/>
      <c r="Q18" s="298"/>
      <c r="R18" s="298"/>
    </row>
    <row r="19" spans="1:18" ht="15" customHeight="1" x14ac:dyDescent="0.25">
      <c r="A19" s="123"/>
      <c r="B19" s="123"/>
      <c r="C19" s="123"/>
      <c r="D19" s="123"/>
      <c r="F19" s="130"/>
      <c r="G19" s="130"/>
      <c r="H19" s="130"/>
      <c r="I19" s="130"/>
      <c r="J19" s="130"/>
      <c r="K19" s="130"/>
      <c r="L19" s="130"/>
      <c r="M19" s="130"/>
      <c r="N19" s="128"/>
      <c r="O19" s="298"/>
      <c r="P19" s="298"/>
      <c r="Q19" s="298"/>
      <c r="R19" s="298"/>
    </row>
    <row r="20" spans="1:18" ht="15" customHeight="1" x14ac:dyDescent="0.25">
      <c r="A20" s="123"/>
      <c r="B20" s="123"/>
      <c r="C20" s="123"/>
      <c r="D20" s="123"/>
      <c r="F20" s="131"/>
      <c r="G20" s="131"/>
      <c r="H20" s="131"/>
      <c r="I20" s="131"/>
      <c r="J20" s="131"/>
      <c r="K20" s="131"/>
      <c r="L20" s="131"/>
      <c r="M20" s="131"/>
      <c r="N20" s="128"/>
      <c r="O20" s="298"/>
      <c r="P20" s="298"/>
      <c r="Q20" s="298"/>
      <c r="R20" s="298"/>
    </row>
    <row r="21" spans="1:18" ht="15" customHeight="1" x14ac:dyDescent="0.25">
      <c r="A21" s="123"/>
      <c r="B21" s="123"/>
      <c r="C21" s="123"/>
      <c r="D21" s="123"/>
      <c r="F21" s="131"/>
      <c r="G21" s="131"/>
      <c r="H21" s="131"/>
      <c r="I21" s="131"/>
      <c r="J21" s="131"/>
      <c r="K21" s="131"/>
      <c r="L21" s="131"/>
      <c r="M21" s="131"/>
      <c r="N21" s="128"/>
      <c r="O21" s="298"/>
      <c r="P21" s="298"/>
      <c r="Q21" s="298"/>
      <c r="R21" s="298"/>
    </row>
    <row r="22" spans="1:18" ht="15" customHeight="1" x14ac:dyDescent="0.25">
      <c r="F22" s="132"/>
      <c r="G22" s="132"/>
      <c r="H22" s="132"/>
      <c r="I22" s="132"/>
      <c r="J22" s="132"/>
      <c r="K22" s="132"/>
      <c r="L22" s="132"/>
      <c r="M22" s="132"/>
      <c r="N22" s="128"/>
    </row>
    <row r="23" spans="1:18" ht="15" customHeight="1" x14ac:dyDescent="0.25">
      <c r="F23" s="132"/>
      <c r="G23" s="132"/>
      <c r="H23" s="132"/>
      <c r="I23" s="132"/>
      <c r="J23" s="132"/>
      <c r="K23" s="132"/>
      <c r="L23" s="132"/>
      <c r="M23" s="132"/>
      <c r="N23" s="128"/>
    </row>
    <row r="24" spans="1:18" ht="15" customHeight="1" x14ac:dyDescent="0.25">
      <c r="F24" s="132"/>
      <c r="G24" s="132"/>
      <c r="H24" s="132"/>
      <c r="I24" s="132"/>
      <c r="J24" s="132"/>
      <c r="K24" s="132"/>
      <c r="L24" s="132"/>
      <c r="M24" s="132"/>
      <c r="N24" s="128"/>
    </row>
    <row r="25" spans="1:18" ht="15" customHeight="1" x14ac:dyDescent="0.25">
      <c r="F25" s="133"/>
      <c r="G25" s="133"/>
      <c r="H25" s="133"/>
      <c r="I25" s="133"/>
      <c r="J25" s="133"/>
      <c r="K25" s="133"/>
      <c r="L25" s="133"/>
      <c r="M25" s="133"/>
      <c r="N25" s="128"/>
    </row>
    <row r="26" spans="1:18" ht="15" customHeight="1" x14ac:dyDescent="0.25">
      <c r="F26" s="133"/>
      <c r="G26" s="133"/>
      <c r="H26" s="133"/>
      <c r="I26" s="133"/>
      <c r="J26" s="133"/>
      <c r="K26" s="133"/>
      <c r="L26" s="133"/>
      <c r="M26" s="133"/>
      <c r="N26" s="128"/>
    </row>
    <row r="27" spans="1:18" ht="15" customHeight="1" x14ac:dyDescent="0.25">
      <c r="F27" s="133"/>
      <c r="G27" s="133"/>
      <c r="H27" s="133"/>
      <c r="I27" s="133"/>
      <c r="J27" s="133"/>
      <c r="K27" s="133"/>
      <c r="L27" s="133"/>
      <c r="M27" s="133"/>
      <c r="N27" s="128"/>
    </row>
    <row r="28" spans="1:18" ht="15" customHeight="1" x14ac:dyDescent="0.25">
      <c r="F28" s="133"/>
      <c r="G28" s="133"/>
      <c r="H28" s="133"/>
      <c r="I28" s="133"/>
      <c r="J28" s="133"/>
      <c r="K28" s="133"/>
      <c r="L28" s="133"/>
      <c r="M28" s="133"/>
      <c r="N28" s="128"/>
    </row>
    <row r="29" spans="1:18" ht="15" customHeight="1" x14ac:dyDescent="0.25">
      <c r="F29" s="133"/>
      <c r="G29" s="133"/>
      <c r="H29" s="133"/>
      <c r="I29" s="133"/>
      <c r="J29" s="133"/>
      <c r="K29" s="133"/>
      <c r="L29" s="133"/>
      <c r="M29" s="133"/>
      <c r="N29" s="128"/>
    </row>
    <row r="30" spans="1:18" ht="15" customHeight="1" x14ac:dyDescent="0.25">
      <c r="F30" s="133"/>
      <c r="G30" s="133"/>
      <c r="H30" s="133"/>
      <c r="I30" s="133"/>
      <c r="J30" s="133"/>
      <c r="K30" s="133"/>
      <c r="L30" s="133"/>
      <c r="M30" s="133"/>
      <c r="N30" s="128"/>
    </row>
    <row r="31" spans="1:18" ht="15" customHeight="1" x14ac:dyDescent="0.25">
      <c r="F31" s="133"/>
      <c r="G31" s="133"/>
      <c r="H31" s="133"/>
      <c r="I31" s="133"/>
      <c r="J31" s="133"/>
      <c r="K31" s="133"/>
      <c r="L31" s="133"/>
      <c r="M31" s="133"/>
      <c r="N31" s="128"/>
    </row>
    <row r="32" spans="1:18" ht="15" customHeight="1" x14ac:dyDescent="0.25">
      <c r="F32" s="133"/>
      <c r="G32" s="133"/>
      <c r="H32" s="133"/>
      <c r="I32" s="133"/>
      <c r="J32" s="133"/>
      <c r="K32" s="133"/>
      <c r="L32" s="133"/>
      <c r="M32" s="133"/>
      <c r="N32" s="128"/>
    </row>
    <row r="33" spans="6:14" ht="15" customHeight="1" x14ac:dyDescent="0.25">
      <c r="F33" s="133"/>
      <c r="G33" s="133"/>
      <c r="H33" s="133"/>
      <c r="I33" s="133"/>
      <c r="J33" s="133"/>
      <c r="K33" s="133"/>
      <c r="L33" s="133"/>
      <c r="M33" s="133"/>
      <c r="N33" s="128"/>
    </row>
    <row r="34" spans="6:14" ht="15" customHeight="1" x14ac:dyDescent="0.25">
      <c r="F34" s="133"/>
      <c r="G34" s="133"/>
      <c r="H34" s="133"/>
      <c r="I34" s="133"/>
      <c r="J34" s="133"/>
      <c r="K34" s="133"/>
      <c r="L34" s="133"/>
      <c r="M34" s="133"/>
      <c r="N34" s="128"/>
    </row>
    <row r="35" spans="6:14" ht="15" customHeight="1" x14ac:dyDescent="0.25">
      <c r="F35" s="133"/>
      <c r="G35" s="133"/>
      <c r="H35" s="133"/>
      <c r="I35" s="133"/>
      <c r="J35" s="133"/>
      <c r="K35" s="133"/>
      <c r="L35" s="133"/>
      <c r="M35" s="133"/>
      <c r="N35" s="128"/>
    </row>
    <row r="36" spans="6:14" ht="15" customHeight="1" x14ac:dyDescent="0.25">
      <c r="F36" s="133"/>
      <c r="G36" s="133"/>
      <c r="H36" s="133"/>
      <c r="I36" s="133"/>
      <c r="J36" s="133"/>
      <c r="K36" s="133"/>
      <c r="L36" s="133"/>
      <c r="M36" s="133"/>
      <c r="N36" s="128"/>
    </row>
    <row r="37" spans="6:14" ht="15" customHeight="1" x14ac:dyDescent="0.25">
      <c r="F37" s="133"/>
      <c r="G37" s="133"/>
      <c r="H37" s="133"/>
      <c r="I37" s="133"/>
      <c r="J37" s="133"/>
      <c r="K37" s="133"/>
      <c r="L37" s="133"/>
      <c r="M37" s="133"/>
      <c r="N37" s="128"/>
    </row>
    <row r="38" spans="6:14" ht="15" customHeight="1" x14ac:dyDescent="0.25">
      <c r="F38" s="133"/>
      <c r="G38" s="133"/>
      <c r="H38" s="133"/>
      <c r="I38" s="133"/>
      <c r="J38" s="133"/>
      <c r="K38" s="133"/>
      <c r="L38" s="133"/>
      <c r="M38" s="133"/>
      <c r="N38" s="128"/>
    </row>
    <row r="39" spans="6:14" ht="15" customHeight="1" x14ac:dyDescent="0.25">
      <c r="F39" s="133"/>
      <c r="G39" s="133"/>
      <c r="H39" s="133"/>
      <c r="I39" s="133"/>
      <c r="J39" s="133"/>
      <c r="K39" s="133"/>
      <c r="L39" s="133"/>
      <c r="M39" s="133"/>
      <c r="N39" s="128"/>
    </row>
    <row r="40" spans="6:14" ht="15" customHeight="1" x14ac:dyDescent="0.25">
      <c r="F40" s="133"/>
      <c r="G40" s="133"/>
      <c r="H40" s="133"/>
      <c r="I40" s="133"/>
      <c r="J40" s="133"/>
      <c r="K40" s="133"/>
      <c r="L40" s="133"/>
      <c r="M40" s="133"/>
      <c r="N40" s="128"/>
    </row>
    <row r="41" spans="6:14" ht="15" customHeight="1" x14ac:dyDescent="0.25">
      <c r="F41" s="133"/>
      <c r="G41" s="133"/>
      <c r="H41" s="133"/>
      <c r="I41" s="133"/>
      <c r="J41" s="133"/>
      <c r="K41" s="133"/>
      <c r="L41" s="133"/>
      <c r="M41" s="133"/>
      <c r="N41" s="128"/>
    </row>
    <row r="42" spans="6:14" ht="15" customHeight="1" x14ac:dyDescent="0.25">
      <c r="F42" s="133"/>
      <c r="G42" s="133"/>
      <c r="H42" s="133"/>
      <c r="I42" s="133"/>
      <c r="J42" s="133"/>
      <c r="K42" s="133"/>
      <c r="L42" s="133"/>
      <c r="M42" s="133"/>
      <c r="N42" s="128"/>
    </row>
    <row r="43" spans="6:14" ht="15" customHeight="1" x14ac:dyDescent="0.25">
      <c r="F43" s="133"/>
      <c r="G43" s="133"/>
      <c r="H43" s="133"/>
      <c r="I43" s="133"/>
      <c r="J43" s="133"/>
      <c r="K43" s="133"/>
      <c r="L43" s="133"/>
      <c r="M43" s="133"/>
      <c r="N43" s="128"/>
    </row>
    <row r="44" spans="6:14" ht="15" customHeight="1" x14ac:dyDescent="0.25">
      <c r="F44" s="133"/>
      <c r="G44" s="133"/>
      <c r="H44" s="133"/>
      <c r="I44" s="133"/>
      <c r="J44" s="133"/>
      <c r="K44" s="133"/>
      <c r="L44" s="133"/>
      <c r="M44" s="133"/>
      <c r="N44" s="128"/>
    </row>
    <row r="45" spans="6:14" ht="15" customHeight="1" x14ac:dyDescent="0.25">
      <c r="F45" s="133"/>
      <c r="G45" s="133"/>
      <c r="H45" s="133"/>
      <c r="I45" s="133"/>
      <c r="J45" s="133"/>
      <c r="K45" s="133"/>
      <c r="L45" s="133"/>
      <c r="M45" s="133"/>
      <c r="N45" s="128"/>
    </row>
    <row r="46" spans="6:14" ht="15" customHeight="1" x14ac:dyDescent="0.25">
      <c r="F46" s="133"/>
      <c r="G46" s="133"/>
      <c r="H46" s="133"/>
      <c r="I46" s="133"/>
      <c r="J46" s="133"/>
      <c r="K46" s="133"/>
      <c r="L46" s="133"/>
      <c r="M46" s="133"/>
      <c r="N46" s="128"/>
    </row>
    <row r="47" spans="6:14" ht="15" customHeight="1" x14ac:dyDescent="0.25">
      <c r="F47" s="133"/>
      <c r="G47" s="133"/>
      <c r="H47" s="133"/>
      <c r="I47" s="133"/>
      <c r="J47" s="133"/>
      <c r="K47" s="133"/>
      <c r="L47" s="133"/>
      <c r="M47" s="133"/>
      <c r="N47" s="128"/>
    </row>
    <row r="48" spans="6:14" ht="15" customHeight="1" x14ac:dyDescent="0.25">
      <c r="F48" s="133"/>
      <c r="G48" s="133"/>
      <c r="H48" s="133"/>
      <c r="I48" s="133"/>
      <c r="J48" s="133"/>
      <c r="K48" s="133"/>
      <c r="L48" s="133"/>
      <c r="M48" s="133"/>
      <c r="N48" s="128"/>
    </row>
    <row r="49" spans="1:14" ht="15" customHeight="1" x14ac:dyDescent="0.25">
      <c r="F49" s="133"/>
      <c r="G49" s="133"/>
      <c r="H49" s="133"/>
      <c r="I49" s="133"/>
      <c r="J49" s="133"/>
      <c r="K49" s="133"/>
      <c r="L49" s="133"/>
      <c r="M49" s="133"/>
      <c r="N49" s="128"/>
    </row>
    <row r="50" spans="1:14" ht="15" customHeight="1" x14ac:dyDescent="0.25">
      <c r="F50" s="133"/>
      <c r="G50" s="133"/>
      <c r="H50" s="133"/>
      <c r="I50" s="133"/>
      <c r="J50" s="133"/>
      <c r="K50" s="133"/>
      <c r="L50" s="133"/>
      <c r="M50" s="133"/>
      <c r="N50" s="128"/>
    </row>
    <row r="51" spans="1:14" ht="15" customHeight="1" x14ac:dyDescent="0.25">
      <c r="A51" s="123"/>
      <c r="B51" s="123"/>
      <c r="C51" s="123"/>
      <c r="D51" s="123"/>
      <c r="F51" s="133"/>
      <c r="G51" s="133"/>
      <c r="H51" s="133"/>
      <c r="I51" s="133"/>
      <c r="J51" s="133"/>
      <c r="K51" s="133"/>
      <c r="L51" s="133"/>
      <c r="M51" s="133"/>
      <c r="N51" s="128"/>
    </row>
    <row r="52" spans="1:14" ht="15" customHeight="1" x14ac:dyDescent="0.25">
      <c r="A52" s="123"/>
      <c r="B52" s="123"/>
      <c r="C52" s="123"/>
      <c r="D52" s="123"/>
      <c r="F52" s="133"/>
      <c r="G52" s="133"/>
      <c r="H52" s="133"/>
      <c r="I52" s="133"/>
      <c r="J52" s="133"/>
      <c r="K52" s="133"/>
      <c r="L52" s="133"/>
      <c r="M52" s="133"/>
      <c r="N52" s="128"/>
    </row>
    <row r="53" spans="1:14" ht="15" customHeight="1" x14ac:dyDescent="0.25">
      <c r="A53" s="123"/>
      <c r="B53" s="123"/>
      <c r="C53" s="123"/>
      <c r="D53" s="123"/>
      <c r="F53" s="128"/>
      <c r="G53" s="128"/>
      <c r="H53" s="131"/>
      <c r="I53" s="131"/>
      <c r="J53" s="131"/>
      <c r="K53" s="131"/>
      <c r="L53" s="128"/>
      <c r="M53" s="128"/>
      <c r="N53" s="128"/>
    </row>
    <row r="54" spans="1:14" ht="15" customHeight="1" x14ac:dyDescent="0.25">
      <c r="A54" s="123"/>
      <c r="B54" s="123"/>
      <c r="C54" s="123"/>
      <c r="D54" s="123"/>
      <c r="F54" s="128"/>
      <c r="G54" s="128"/>
      <c r="H54" s="131"/>
      <c r="I54" s="131"/>
      <c r="J54" s="131"/>
      <c r="K54" s="131"/>
      <c r="L54" s="128"/>
      <c r="M54" s="128"/>
      <c r="N54" s="128"/>
    </row>
    <row r="55" spans="1:14" ht="15" hidden="1" customHeight="1" x14ac:dyDescent="0.25">
      <c r="A55" s="123"/>
      <c r="B55" s="123"/>
      <c r="C55" s="123"/>
      <c r="D55" s="123"/>
      <c r="H55" s="122"/>
      <c r="I55" s="122"/>
      <c r="J55" s="122"/>
      <c r="K55" s="122"/>
    </row>
    <row r="56" spans="1:14" ht="36" hidden="1" x14ac:dyDescent="0.25">
      <c r="A56" s="123"/>
      <c r="B56" s="123"/>
      <c r="C56" s="123"/>
      <c r="D56" s="123"/>
      <c r="H56" s="122"/>
      <c r="I56" s="122"/>
      <c r="J56" s="122"/>
      <c r="K56" s="122"/>
    </row>
  </sheetData>
  <sheetProtection algorithmName="SHA-512" hashValue="WxB75ZLuXQSjOIWENLrpi0Kb+DVs6eliZtyF86JADBnS1LbWgITtaaqyyqgSMKm5Y9d3dkSBbPqkitZ2QGQHXQ==" saltValue="Hsyf8pZfWXNwepeuJNuxrw==" spinCount="100000" sheet="1" objects="1" scenarios="1" selectLockedCells="1" selectUnlockedCells="1"/>
  <mergeCells count="3">
    <mergeCell ref="A1:D6"/>
    <mergeCell ref="O1:R21"/>
    <mergeCell ref="A7:E1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091F9-A954-492C-8095-EA497041B382}">
  <sheetPr codeName="Hoja20">
    <pageSetUpPr autoPageBreaks="0"/>
  </sheetPr>
  <dimension ref="A1:S58"/>
  <sheetViews>
    <sheetView showGridLines="0" showRowColHeaders="0" zoomScale="80" zoomScaleNormal="80" workbookViewId="0">
      <selection activeCell="N38" sqref="N38:O41"/>
    </sheetView>
  </sheetViews>
  <sheetFormatPr baseColWidth="10" defaultColWidth="0" defaultRowHeight="15" zeroHeight="1" x14ac:dyDescent="0.25"/>
  <cols>
    <col min="1" max="17" width="11.42578125" style="120" customWidth="1"/>
    <col min="18" max="18" width="15.85546875" style="120" customWidth="1"/>
    <col min="19" max="21" width="11.42578125" style="120" hidden="1" customWidth="1"/>
    <col min="22" max="16384" width="11.42578125" style="120" hidden="1"/>
  </cols>
  <sheetData>
    <row r="1" spans="1:19" ht="15" customHeight="1" x14ac:dyDescent="0.95">
      <c r="A1" s="299" t="s">
        <v>121</v>
      </c>
      <c r="B1" s="299"/>
      <c r="C1" s="299"/>
      <c r="D1" s="299"/>
      <c r="E1" s="299"/>
      <c r="F1" s="128"/>
      <c r="G1" s="128"/>
      <c r="H1" s="128"/>
      <c r="I1" s="128"/>
      <c r="J1" s="128"/>
      <c r="K1" s="128"/>
      <c r="L1" s="128"/>
      <c r="M1" s="128"/>
      <c r="N1" s="128"/>
      <c r="O1" s="128"/>
      <c r="P1" s="310" t="s">
        <v>1</v>
      </c>
      <c r="Q1" s="310"/>
      <c r="R1" s="310"/>
      <c r="S1" s="121"/>
    </row>
    <row r="2" spans="1:19" ht="15" customHeight="1" x14ac:dyDescent="0.95">
      <c r="A2" s="299"/>
      <c r="B2" s="299"/>
      <c r="C2" s="299"/>
      <c r="D2" s="299"/>
      <c r="E2" s="299"/>
      <c r="F2" s="128"/>
      <c r="G2" s="128"/>
      <c r="H2" s="128"/>
      <c r="I2" s="128"/>
      <c r="J2" s="128"/>
      <c r="K2" s="128"/>
      <c r="L2" s="128"/>
      <c r="M2" s="128"/>
      <c r="N2" s="128"/>
      <c r="O2" s="147"/>
      <c r="P2" s="310"/>
      <c r="Q2" s="310"/>
      <c r="R2" s="310"/>
      <c r="S2" s="121"/>
    </row>
    <row r="3" spans="1:19" ht="15" customHeight="1" x14ac:dyDescent="0.95">
      <c r="A3" s="299"/>
      <c r="B3" s="299"/>
      <c r="C3" s="299"/>
      <c r="D3" s="299"/>
      <c r="E3" s="299"/>
      <c r="F3" s="128"/>
      <c r="G3" s="128"/>
      <c r="H3" s="128"/>
      <c r="I3" s="128"/>
      <c r="J3" s="128"/>
      <c r="K3" s="128"/>
      <c r="L3" s="128"/>
      <c r="M3" s="128"/>
      <c r="N3" s="128"/>
      <c r="O3" s="147"/>
      <c r="P3" s="310"/>
      <c r="Q3" s="310"/>
      <c r="R3" s="310"/>
      <c r="S3" s="121"/>
    </row>
    <row r="4" spans="1:19" ht="15" customHeight="1" x14ac:dyDescent="0.95">
      <c r="A4" s="299"/>
      <c r="B4" s="299"/>
      <c r="C4" s="299"/>
      <c r="D4" s="299"/>
      <c r="E4" s="299"/>
      <c r="F4" s="128"/>
      <c r="G4" s="128"/>
      <c r="H4" s="128"/>
      <c r="I4" s="128"/>
      <c r="J4" s="128"/>
      <c r="K4" s="128"/>
      <c r="L4" s="128"/>
      <c r="M4" s="128"/>
      <c r="N4" s="128"/>
      <c r="O4" s="147"/>
      <c r="P4" s="310"/>
      <c r="Q4" s="310"/>
      <c r="R4" s="310"/>
      <c r="S4" s="121"/>
    </row>
    <row r="5" spans="1:19" ht="15" customHeight="1" x14ac:dyDescent="0.95">
      <c r="A5" s="299"/>
      <c r="B5" s="299"/>
      <c r="C5" s="299"/>
      <c r="D5" s="299"/>
      <c r="E5" s="299"/>
      <c r="F5" s="128"/>
      <c r="G5" s="128"/>
      <c r="H5" s="128"/>
      <c r="I5" s="128"/>
      <c r="J5" s="128"/>
      <c r="K5" s="128"/>
      <c r="L5" s="128"/>
      <c r="M5" s="128"/>
      <c r="N5" s="128"/>
      <c r="O5" s="147"/>
      <c r="P5" s="310"/>
      <c r="Q5" s="310"/>
      <c r="R5" s="310"/>
      <c r="S5" s="121"/>
    </row>
    <row r="6" spans="1:19" ht="15" customHeight="1" x14ac:dyDescent="0.95">
      <c r="A6" s="299"/>
      <c r="B6" s="299"/>
      <c r="C6" s="299"/>
      <c r="D6" s="299"/>
      <c r="E6" s="299"/>
      <c r="F6" s="99"/>
      <c r="G6" s="99"/>
      <c r="H6" s="99"/>
      <c r="I6" s="99"/>
      <c r="J6" s="99"/>
      <c r="K6" s="99"/>
      <c r="L6" s="99"/>
      <c r="M6" s="99"/>
      <c r="N6" s="99"/>
      <c r="O6" s="148"/>
      <c r="P6" s="310"/>
      <c r="Q6" s="310"/>
      <c r="R6" s="310"/>
      <c r="S6" s="121"/>
    </row>
    <row r="7" spans="1:19" ht="15" customHeight="1" x14ac:dyDescent="0.95">
      <c r="A7" s="299" t="s">
        <v>122</v>
      </c>
      <c r="B7" s="299"/>
      <c r="C7" s="299"/>
      <c r="D7" s="299"/>
      <c r="E7" s="299"/>
      <c r="F7" s="99"/>
      <c r="G7" s="99"/>
      <c r="H7" s="99"/>
      <c r="I7" s="99"/>
      <c r="J7" s="99"/>
      <c r="K7" s="99"/>
      <c r="L7" s="99"/>
      <c r="M7" s="99"/>
      <c r="N7" s="99"/>
      <c r="O7" s="148"/>
      <c r="P7" s="310"/>
      <c r="Q7" s="310"/>
      <c r="R7" s="310"/>
      <c r="S7" s="121"/>
    </row>
    <row r="8" spans="1:19" ht="15" customHeight="1" x14ac:dyDescent="0.95">
      <c r="A8" s="299"/>
      <c r="B8" s="299"/>
      <c r="C8" s="299"/>
      <c r="D8" s="299"/>
      <c r="E8" s="299"/>
      <c r="F8" s="99"/>
      <c r="G8" s="99"/>
      <c r="H8" s="99"/>
      <c r="I8" s="99"/>
      <c r="J8" s="99"/>
      <c r="K8" s="99"/>
      <c r="L8" s="99"/>
      <c r="M8" s="99"/>
      <c r="N8" s="99"/>
      <c r="O8" s="148"/>
      <c r="P8" s="310"/>
      <c r="Q8" s="310"/>
      <c r="R8" s="310"/>
      <c r="S8" s="121"/>
    </row>
    <row r="9" spans="1:19" ht="15" customHeight="1" x14ac:dyDescent="0.95">
      <c r="A9" s="299"/>
      <c r="B9" s="299"/>
      <c r="C9" s="299"/>
      <c r="D9" s="299"/>
      <c r="E9" s="299"/>
      <c r="F9" s="376" t="s">
        <v>123</v>
      </c>
      <c r="G9" s="454"/>
      <c r="H9" s="454"/>
      <c r="I9" s="454"/>
      <c r="J9" s="454"/>
      <c r="K9" s="454"/>
      <c r="L9" s="454"/>
      <c r="M9" s="454"/>
      <c r="N9" s="454"/>
      <c r="O9" s="454"/>
      <c r="P9" s="310"/>
      <c r="Q9" s="310"/>
      <c r="R9" s="310"/>
      <c r="S9" s="121"/>
    </row>
    <row r="10" spans="1:19" ht="15" customHeight="1" x14ac:dyDescent="0.95">
      <c r="A10" s="299"/>
      <c r="B10" s="299"/>
      <c r="C10" s="299"/>
      <c r="D10" s="299"/>
      <c r="E10" s="299"/>
      <c r="F10" s="454"/>
      <c r="G10" s="454"/>
      <c r="H10" s="454"/>
      <c r="I10" s="454"/>
      <c r="J10" s="454"/>
      <c r="K10" s="454"/>
      <c r="L10" s="454"/>
      <c r="M10" s="454"/>
      <c r="N10" s="454"/>
      <c r="O10" s="454"/>
      <c r="P10" s="310"/>
      <c r="Q10" s="310"/>
      <c r="R10" s="310"/>
      <c r="S10" s="121"/>
    </row>
    <row r="11" spans="1:19" ht="15" customHeight="1" x14ac:dyDescent="0.25">
      <c r="A11" s="299"/>
      <c r="B11" s="299"/>
      <c r="C11" s="299"/>
      <c r="D11" s="299"/>
      <c r="E11" s="299"/>
      <c r="F11" s="454"/>
      <c r="G11" s="454"/>
      <c r="H11" s="454"/>
      <c r="I11" s="454"/>
      <c r="J11" s="454"/>
      <c r="K11" s="454"/>
      <c r="L11" s="454"/>
      <c r="M11" s="454"/>
      <c r="N11" s="454"/>
      <c r="O11" s="454"/>
      <c r="P11" s="310"/>
      <c r="Q11" s="310"/>
      <c r="R11" s="310"/>
    </row>
    <row r="12" spans="1:19" ht="15" customHeight="1" x14ac:dyDescent="0.25">
      <c r="A12" s="299"/>
      <c r="B12" s="299"/>
      <c r="C12" s="299"/>
      <c r="D12" s="299"/>
      <c r="E12" s="299"/>
      <c r="F12" s="376" t="s">
        <v>124</v>
      </c>
      <c r="G12" s="454"/>
      <c r="H12" s="454"/>
      <c r="I12" s="454"/>
      <c r="J12" s="454"/>
      <c r="K12" s="454"/>
      <c r="L12" s="454"/>
      <c r="M12" s="454"/>
      <c r="N12" s="454"/>
      <c r="O12" s="454"/>
      <c r="P12" s="310"/>
      <c r="Q12" s="310"/>
      <c r="R12" s="310"/>
    </row>
    <row r="13" spans="1:19" ht="15" customHeight="1" x14ac:dyDescent="0.25">
      <c r="A13" s="299" t="s">
        <v>125</v>
      </c>
      <c r="B13" s="299"/>
      <c r="C13" s="299"/>
      <c r="D13" s="299"/>
      <c r="E13" s="299"/>
      <c r="F13" s="454"/>
      <c r="G13" s="454"/>
      <c r="H13" s="454"/>
      <c r="I13" s="454"/>
      <c r="J13" s="454"/>
      <c r="K13" s="454"/>
      <c r="L13" s="454"/>
      <c r="M13" s="454"/>
      <c r="N13" s="454"/>
      <c r="O13" s="454"/>
      <c r="P13" s="310"/>
      <c r="Q13" s="310"/>
      <c r="R13" s="310"/>
    </row>
    <row r="14" spans="1:19" ht="15" customHeight="1" x14ac:dyDescent="0.25">
      <c r="A14" s="299"/>
      <c r="B14" s="299"/>
      <c r="C14" s="299"/>
      <c r="D14" s="299"/>
      <c r="E14" s="299"/>
      <c r="F14" s="454"/>
      <c r="G14" s="454"/>
      <c r="H14" s="454"/>
      <c r="I14" s="454"/>
      <c r="J14" s="454"/>
      <c r="K14" s="454"/>
      <c r="L14" s="454"/>
      <c r="M14" s="454"/>
      <c r="N14" s="454"/>
      <c r="O14" s="454"/>
      <c r="P14" s="310"/>
      <c r="Q14" s="310"/>
      <c r="R14" s="310"/>
    </row>
    <row r="15" spans="1:19" ht="15" customHeight="1" x14ac:dyDescent="0.25">
      <c r="A15" s="299"/>
      <c r="B15" s="299"/>
      <c r="C15" s="299"/>
      <c r="D15" s="299"/>
      <c r="E15" s="299"/>
      <c r="F15" s="130"/>
      <c r="G15" s="130"/>
      <c r="H15" s="130"/>
      <c r="I15" s="130"/>
      <c r="J15" s="130"/>
      <c r="K15" s="130"/>
      <c r="L15" s="130"/>
      <c r="M15" s="130"/>
      <c r="N15" s="128"/>
      <c r="O15" s="147"/>
      <c r="P15" s="310"/>
      <c r="Q15" s="310"/>
      <c r="R15" s="310"/>
    </row>
    <row r="16" spans="1:19" ht="15" customHeight="1" x14ac:dyDescent="0.25">
      <c r="A16" s="299"/>
      <c r="B16" s="299"/>
      <c r="C16" s="299"/>
      <c r="D16" s="299"/>
      <c r="E16" s="299"/>
      <c r="F16" s="130"/>
      <c r="G16" s="130"/>
      <c r="H16" s="130"/>
      <c r="I16" s="130"/>
      <c r="J16" s="130"/>
      <c r="K16" s="130"/>
      <c r="L16" s="130"/>
      <c r="M16" s="130"/>
      <c r="N16" s="128"/>
      <c r="O16" s="147"/>
      <c r="P16" s="310"/>
      <c r="Q16" s="310"/>
      <c r="R16" s="310"/>
    </row>
    <row r="17" spans="1:18" ht="15" customHeight="1" x14ac:dyDescent="0.25">
      <c r="A17" s="299"/>
      <c r="B17" s="299"/>
      <c r="C17" s="299"/>
      <c r="D17" s="299"/>
      <c r="E17" s="299"/>
      <c r="F17" s="149"/>
      <c r="G17" s="149"/>
      <c r="H17" s="149"/>
      <c r="I17" s="149"/>
      <c r="J17" s="149"/>
      <c r="K17" s="149"/>
      <c r="L17" s="149"/>
      <c r="M17" s="149"/>
      <c r="N17" s="99"/>
      <c r="O17" s="148"/>
      <c r="P17" s="310"/>
      <c r="Q17" s="310"/>
      <c r="R17" s="310"/>
    </row>
    <row r="18" spans="1:18" ht="15" customHeight="1" x14ac:dyDescent="0.25">
      <c r="A18" s="299"/>
      <c r="B18" s="299"/>
      <c r="C18" s="299"/>
      <c r="D18" s="299"/>
      <c r="E18" s="299"/>
      <c r="F18" s="149"/>
      <c r="G18" s="149"/>
      <c r="H18" s="149"/>
      <c r="I18" s="149"/>
      <c r="J18" s="149"/>
      <c r="K18" s="149"/>
      <c r="L18" s="149"/>
      <c r="M18" s="149"/>
      <c r="N18" s="99"/>
      <c r="O18" s="148"/>
      <c r="P18" s="310"/>
      <c r="Q18" s="310"/>
      <c r="R18" s="310"/>
    </row>
    <row r="19" spans="1:18" ht="15" customHeight="1" x14ac:dyDescent="0.25">
      <c r="A19" s="299" t="s">
        <v>126</v>
      </c>
      <c r="B19" s="299"/>
      <c r="C19" s="299"/>
      <c r="D19" s="299"/>
      <c r="E19" s="299"/>
      <c r="F19" s="149"/>
      <c r="G19" s="149"/>
      <c r="H19" s="149"/>
      <c r="I19" s="149"/>
      <c r="J19" s="149"/>
      <c r="K19" s="149"/>
      <c r="L19" s="149"/>
      <c r="M19" s="149"/>
      <c r="N19" s="99"/>
      <c r="O19" s="148"/>
      <c r="P19" s="310"/>
      <c r="Q19" s="310"/>
      <c r="R19" s="310"/>
    </row>
    <row r="20" spans="1:18" ht="15" customHeight="1" x14ac:dyDescent="0.25">
      <c r="A20" s="299"/>
      <c r="B20" s="299"/>
      <c r="C20" s="299"/>
      <c r="D20" s="299"/>
      <c r="E20" s="299"/>
      <c r="F20" s="189"/>
      <c r="G20" s="128"/>
      <c r="H20" s="128"/>
      <c r="I20" s="128"/>
      <c r="J20" s="128"/>
      <c r="K20" s="128"/>
      <c r="L20" s="128"/>
      <c r="M20" s="128"/>
      <c r="N20" s="128"/>
      <c r="O20" s="147"/>
      <c r="P20" s="310"/>
      <c r="Q20" s="310"/>
      <c r="R20" s="310"/>
    </row>
    <row r="21" spans="1:18" ht="15" customHeight="1" x14ac:dyDescent="0.25">
      <c r="A21" s="299"/>
      <c r="B21" s="299"/>
      <c r="C21" s="299"/>
      <c r="D21" s="299"/>
      <c r="E21" s="299"/>
      <c r="F21" s="128"/>
      <c r="G21" s="128"/>
      <c r="H21" s="128"/>
      <c r="I21" s="128"/>
      <c r="J21" s="128"/>
      <c r="K21" s="128"/>
      <c r="L21" s="128"/>
      <c r="M21" s="128"/>
      <c r="N21" s="128"/>
      <c r="O21" s="147"/>
      <c r="P21" s="310"/>
      <c r="Q21" s="310"/>
      <c r="R21" s="310"/>
    </row>
    <row r="22" spans="1:18" ht="15" customHeight="1" x14ac:dyDescent="0.25">
      <c r="A22" s="299"/>
      <c r="B22" s="299"/>
      <c r="C22" s="299"/>
      <c r="D22" s="299"/>
      <c r="E22" s="299"/>
      <c r="F22" s="128"/>
      <c r="G22" s="455" t="s">
        <v>3054</v>
      </c>
      <c r="H22" s="456"/>
      <c r="I22" s="456"/>
      <c r="J22" s="457"/>
      <c r="K22" s="458" t="str">
        <f>IF('DATOS DEL PROYECTO'!I38="No",DIMENSIONAMIENTO!H81,DIMENSIONAMIENTO_2!H13)</f>
        <v>Aquacell NG</v>
      </c>
      <c r="L22" s="459"/>
      <c r="M22" s="193" t="s">
        <v>127</v>
      </c>
      <c r="N22" s="193" t="s">
        <v>128</v>
      </c>
      <c r="O22" s="147"/>
      <c r="P22" s="310"/>
      <c r="Q22" s="310"/>
      <c r="R22" s="310"/>
    </row>
    <row r="23" spans="1:18" ht="15" customHeight="1" x14ac:dyDescent="0.25">
      <c r="A23" s="299"/>
      <c r="B23" s="299"/>
      <c r="C23" s="299"/>
      <c r="D23" s="299"/>
      <c r="E23" s="299"/>
      <c r="F23" s="128"/>
      <c r="G23" s="449" t="s">
        <v>129</v>
      </c>
      <c r="H23" s="450"/>
      <c r="I23" s="450"/>
      <c r="J23" s="450"/>
      <c r="K23" s="451"/>
      <c r="L23" s="452"/>
      <c r="M23" s="190" t="str">
        <f>IF('DATOS DEL PROYECTO'!I38="No",DIMENSIONAMIENTO!M54,DIMENSIONAMIENTO_2!I9)</f>
        <v/>
      </c>
      <c r="N23" s="191" t="s">
        <v>130</v>
      </c>
      <c r="O23" s="147"/>
      <c r="P23" s="310"/>
      <c r="Q23" s="310"/>
      <c r="R23" s="310"/>
    </row>
    <row r="24" spans="1:18" ht="15" customHeight="1" x14ac:dyDescent="0.25">
      <c r="A24" s="299"/>
      <c r="B24" s="299"/>
      <c r="C24" s="299"/>
      <c r="D24" s="299"/>
      <c r="E24" s="299"/>
      <c r="F24" s="128"/>
      <c r="G24" s="453" t="s">
        <v>131</v>
      </c>
      <c r="H24" s="451"/>
      <c r="I24" s="451"/>
      <c r="J24" s="451"/>
      <c r="K24" s="451"/>
      <c r="L24" s="452"/>
      <c r="M24" s="190">
        <f>IF('DATOS DEL PROYECTO'!I38="No",DIMENSIONAMIENTO!H89,DIMENSIONAMIENTO_2!H21)</f>
        <v>0</v>
      </c>
      <c r="N24" s="191" t="s">
        <v>132</v>
      </c>
      <c r="O24" s="147"/>
      <c r="P24" s="243"/>
      <c r="Q24" s="243"/>
      <c r="R24" s="243"/>
    </row>
    <row r="25" spans="1:18" ht="15" customHeight="1" x14ac:dyDescent="0.25">
      <c r="A25" s="299"/>
      <c r="B25" s="299"/>
      <c r="C25" s="299"/>
      <c r="D25" s="299"/>
      <c r="E25" s="299"/>
      <c r="F25" s="128"/>
      <c r="G25" s="453" t="s">
        <v>133</v>
      </c>
      <c r="H25" s="451"/>
      <c r="I25" s="451"/>
      <c r="J25" s="451"/>
      <c r="K25" s="451"/>
      <c r="L25" s="452"/>
      <c r="M25" s="190">
        <f>IF('DATOS DEL PROYECTO'!I38="No",DIMENSIONAMIENTO!H88,DIMENSIONAMIENTO_2!H20)</f>
        <v>0</v>
      </c>
      <c r="N25" s="191" t="s">
        <v>132</v>
      </c>
      <c r="O25" s="147"/>
      <c r="P25" s="243"/>
      <c r="Q25" s="243"/>
      <c r="R25" s="243"/>
    </row>
    <row r="26" spans="1:18" ht="15" customHeight="1" x14ac:dyDescent="0.25">
      <c r="A26" s="408"/>
      <c r="B26" s="408"/>
      <c r="C26" s="408"/>
      <c r="D26" s="408"/>
      <c r="E26" s="408"/>
      <c r="F26" s="128"/>
      <c r="G26" s="453" t="s">
        <v>134</v>
      </c>
      <c r="H26" s="451"/>
      <c r="I26" s="451"/>
      <c r="J26" s="451"/>
      <c r="K26" s="451"/>
      <c r="L26" s="452"/>
      <c r="M26" s="192" t="str">
        <f>IF('DATOS DEL PROYECTO'!I38="No",DIMENSIONAMIENTO!H87,DIMENSIONAMIENTO_2!H19)</f>
        <v/>
      </c>
      <c r="N26" s="191" t="s">
        <v>132</v>
      </c>
      <c r="O26" s="147"/>
      <c r="P26" s="146"/>
      <c r="Q26" s="146"/>
      <c r="R26" s="146"/>
    </row>
    <row r="27" spans="1:18" ht="15" customHeight="1" x14ac:dyDescent="0.25">
      <c r="A27" s="408"/>
      <c r="B27" s="408"/>
      <c r="C27" s="408"/>
      <c r="D27" s="408"/>
      <c r="E27" s="408"/>
      <c r="F27" s="128"/>
      <c r="G27" s="453" t="s">
        <v>135</v>
      </c>
      <c r="H27" s="451"/>
      <c r="I27" s="451"/>
      <c r="J27" s="451"/>
      <c r="K27" s="451"/>
      <c r="L27" s="452"/>
      <c r="M27" s="190">
        <f>M24*M25</f>
        <v>0</v>
      </c>
      <c r="N27" s="191" t="s">
        <v>136</v>
      </c>
      <c r="O27" s="128"/>
    </row>
    <row r="28" spans="1:18" ht="15" customHeight="1" x14ac:dyDescent="0.25">
      <c r="A28" s="408"/>
      <c r="B28" s="408"/>
      <c r="C28" s="408"/>
      <c r="D28" s="408"/>
      <c r="E28" s="408"/>
      <c r="F28" s="128"/>
      <c r="G28" s="453" t="s">
        <v>3032</v>
      </c>
      <c r="H28" s="451"/>
      <c r="I28" s="451"/>
      <c r="J28" s="451"/>
      <c r="K28" s="451"/>
      <c r="L28" s="452"/>
      <c r="M28" s="191">
        <f>IF('DATOS DEL PROYECTO'!I38="No",DIMENSIONAMIENTO!H86,DIMENSIONAMIENTO_2!H18)</f>
        <v>0</v>
      </c>
      <c r="N28" s="191" t="s">
        <v>138</v>
      </c>
      <c r="O28" s="128"/>
    </row>
    <row r="29" spans="1:18" ht="15" customHeight="1" x14ac:dyDescent="0.25">
      <c r="A29" s="408"/>
      <c r="B29" s="408"/>
      <c r="C29" s="408"/>
      <c r="D29" s="408"/>
      <c r="E29" s="408"/>
      <c r="F29" s="128"/>
      <c r="G29" s="453" t="s">
        <v>139</v>
      </c>
      <c r="H29" s="451"/>
      <c r="I29" s="451"/>
      <c r="J29" s="451"/>
      <c r="K29" s="451"/>
      <c r="L29" s="452"/>
      <c r="M29" s="190" t="str">
        <f>IF('DATOS DEL PROYECTO'!I38="No",DIMENSIONAMIENTO!H93,DIMENSIONAMIENTO_2!H25)</f>
        <v/>
      </c>
      <c r="N29" s="191" t="s">
        <v>130</v>
      </c>
      <c r="O29" s="128"/>
    </row>
    <row r="30" spans="1:18" ht="15" customHeight="1" x14ac:dyDescent="0.25">
      <c r="A30" s="408"/>
      <c r="B30" s="408"/>
      <c r="C30" s="408"/>
      <c r="D30" s="408"/>
      <c r="E30" s="408"/>
      <c r="F30" s="128"/>
      <c r="G30" s="453" t="s">
        <v>3033</v>
      </c>
      <c r="H30" s="451"/>
      <c r="I30" s="451"/>
      <c r="J30" s="451"/>
      <c r="K30" s="451"/>
      <c r="L30" s="452"/>
      <c r="M30" s="191" t="str">
        <f>IF('DATOS DEL PROYECTO'!I38="No",DIMENSIONAMIENTO!H95,DIMENSIONAMIENTO_2!H27)</f>
        <v/>
      </c>
      <c r="N30" s="191" t="s">
        <v>138</v>
      </c>
      <c r="O30" s="128"/>
    </row>
    <row r="31" spans="1:18" ht="15" customHeight="1" x14ac:dyDescent="0.25">
      <c r="A31" s="408"/>
      <c r="B31" s="408"/>
      <c r="C31" s="408"/>
      <c r="D31" s="408"/>
      <c r="E31" s="408"/>
      <c r="F31" s="128"/>
      <c r="G31" s="453" t="s">
        <v>141</v>
      </c>
      <c r="H31" s="451"/>
      <c r="I31" s="451"/>
      <c r="J31" s="451"/>
      <c r="K31" s="451"/>
      <c r="L31" s="452"/>
      <c r="M31" s="190" t="str">
        <f>IF('DATOS DEL PROYECTO'!I38="No",DIMENSIONAMIENTO!H94,DIMENSIONAMIENTO_2!H26)</f>
        <v/>
      </c>
      <c r="N31" s="191" t="s">
        <v>130</v>
      </c>
      <c r="O31" s="128"/>
    </row>
    <row r="32" spans="1:18" ht="15" customHeight="1" x14ac:dyDescent="0.25">
      <c r="F32" s="128"/>
      <c r="G32" s="453" t="s">
        <v>142</v>
      </c>
      <c r="H32" s="451"/>
      <c r="I32" s="451"/>
      <c r="J32" s="451"/>
      <c r="K32" s="451"/>
      <c r="L32" s="452"/>
      <c r="M32" s="190" t="str">
        <f>'CÁLCULO MATERIALES AQUACELL'!E11</f>
        <v/>
      </c>
      <c r="N32" s="191" t="s">
        <v>136</v>
      </c>
      <c r="O32" s="128"/>
    </row>
    <row r="33" spans="1:18" ht="15" customHeight="1" x14ac:dyDescent="0.25">
      <c r="F33" s="133"/>
      <c r="G33" s="453" t="s">
        <v>143</v>
      </c>
      <c r="H33" s="451"/>
      <c r="I33" s="451"/>
      <c r="J33" s="451"/>
      <c r="K33" s="451"/>
      <c r="L33" s="452"/>
      <c r="M33" s="190" t="str">
        <f>'CÁLCULO MATERIALES AQUACELL'!E14</f>
        <v/>
      </c>
      <c r="N33" s="191" t="s">
        <v>136</v>
      </c>
      <c r="O33" s="128"/>
    </row>
    <row r="34" spans="1:18" s="128" customFormat="1" ht="15" customHeight="1" x14ac:dyDescent="0.25">
      <c r="A34" s="120"/>
      <c r="B34" s="120"/>
      <c r="C34" s="120"/>
      <c r="D34" s="120"/>
      <c r="E34" s="120"/>
      <c r="F34" s="133"/>
      <c r="P34" s="120"/>
      <c r="Q34" s="120"/>
      <c r="R34" s="120"/>
    </row>
    <row r="35" spans="1:18" s="128" customFormat="1" ht="15" customHeight="1" x14ac:dyDescent="0.25">
      <c r="A35" s="120"/>
      <c r="B35" s="120"/>
      <c r="C35" s="120"/>
      <c r="D35" s="120"/>
      <c r="E35" s="120"/>
      <c r="F35" s="149"/>
      <c r="G35" s="149"/>
      <c r="H35" s="149"/>
      <c r="I35" s="149"/>
      <c r="J35" s="149"/>
      <c r="K35" s="149"/>
      <c r="L35" s="149"/>
      <c r="M35" s="149"/>
      <c r="N35" s="99"/>
      <c r="O35" s="148"/>
      <c r="P35" s="120"/>
      <c r="Q35" s="120"/>
      <c r="R35" s="120"/>
    </row>
    <row r="36" spans="1:18" s="128" customFormat="1" ht="15" customHeight="1" x14ac:dyDescent="0.25">
      <c r="A36" s="120"/>
      <c r="B36" s="120"/>
      <c r="C36" s="120"/>
      <c r="D36" s="120"/>
      <c r="E36" s="120"/>
      <c r="F36" s="149"/>
      <c r="G36" s="149"/>
      <c r="H36" s="149"/>
      <c r="I36" s="149"/>
      <c r="J36" s="149"/>
      <c r="K36" s="149"/>
      <c r="L36" s="149"/>
      <c r="M36" s="149"/>
      <c r="N36" s="99"/>
      <c r="O36" s="148"/>
      <c r="P36" s="120"/>
      <c r="Q36" s="120"/>
      <c r="R36" s="120"/>
    </row>
    <row r="37" spans="1:18" s="128" customFormat="1" ht="15" customHeight="1" x14ac:dyDescent="0.25">
      <c r="A37" s="120"/>
      <c r="B37" s="120"/>
      <c r="C37" s="120"/>
      <c r="D37" s="120"/>
      <c r="E37" s="120"/>
      <c r="F37" s="149"/>
      <c r="G37" s="149"/>
      <c r="H37" s="149"/>
      <c r="I37" s="149"/>
      <c r="J37" s="149"/>
      <c r="K37" s="149"/>
      <c r="L37" s="149"/>
      <c r="M37" s="149"/>
      <c r="N37" s="99"/>
      <c r="O37" s="148"/>
      <c r="P37" s="120"/>
      <c r="Q37" s="120"/>
      <c r="R37" s="120"/>
    </row>
    <row r="38" spans="1:18" s="128" customFormat="1" ht="15" customHeight="1" x14ac:dyDescent="0.25">
      <c r="A38" s="120"/>
      <c r="B38" s="120"/>
      <c r="C38" s="120"/>
      <c r="D38" s="120"/>
      <c r="E38" s="120"/>
      <c r="F38" s="460" t="s">
        <v>144</v>
      </c>
      <c r="G38" s="460"/>
      <c r="H38" s="460"/>
      <c r="I38" s="460"/>
      <c r="J38" s="460"/>
      <c r="K38" s="460"/>
      <c r="L38" s="460"/>
      <c r="M38" s="460"/>
      <c r="N38" s="461" t="s">
        <v>54</v>
      </c>
      <c r="O38" s="461"/>
      <c r="P38" s="120"/>
      <c r="Q38" s="120"/>
      <c r="R38" s="120"/>
    </row>
    <row r="39" spans="1:18" s="128" customFormat="1" ht="15" customHeight="1" x14ac:dyDescent="0.25">
      <c r="A39" s="120"/>
      <c r="B39" s="120"/>
      <c r="C39" s="120"/>
      <c r="D39" s="120"/>
      <c r="E39" s="120"/>
      <c r="F39" s="460"/>
      <c r="G39" s="460"/>
      <c r="H39" s="460"/>
      <c r="I39" s="460"/>
      <c r="J39" s="460"/>
      <c r="K39" s="460"/>
      <c r="L39" s="460"/>
      <c r="M39" s="460"/>
      <c r="N39" s="461"/>
      <c r="O39" s="461"/>
      <c r="P39" s="120"/>
      <c r="Q39" s="120"/>
      <c r="R39" s="120"/>
    </row>
    <row r="40" spans="1:18" s="128" customFormat="1" ht="15" customHeight="1" x14ac:dyDescent="0.25">
      <c r="A40" s="120"/>
      <c r="B40" s="120"/>
      <c r="C40" s="120"/>
      <c r="D40" s="120"/>
      <c r="E40" s="120"/>
      <c r="F40" s="460"/>
      <c r="G40" s="460"/>
      <c r="H40" s="460"/>
      <c r="I40" s="460"/>
      <c r="J40" s="460"/>
      <c r="K40" s="460"/>
      <c r="L40" s="460"/>
      <c r="M40" s="460"/>
      <c r="N40" s="461"/>
      <c r="O40" s="461"/>
      <c r="P40" s="120"/>
      <c r="Q40" s="120"/>
      <c r="R40" s="120"/>
    </row>
    <row r="41" spans="1:18" s="128" customFormat="1" ht="15" customHeight="1" x14ac:dyDescent="0.25">
      <c r="A41" s="120"/>
      <c r="B41" s="120"/>
      <c r="C41" s="120"/>
      <c r="D41" s="120"/>
      <c r="E41" s="120"/>
      <c r="F41" s="460"/>
      <c r="G41" s="460"/>
      <c r="H41" s="460"/>
      <c r="I41" s="460"/>
      <c r="J41" s="460"/>
      <c r="K41" s="460"/>
      <c r="L41" s="460"/>
      <c r="M41" s="460"/>
      <c r="N41" s="461"/>
      <c r="O41" s="461"/>
      <c r="P41" s="120"/>
      <c r="Q41" s="120"/>
      <c r="R41" s="120"/>
    </row>
    <row r="42" spans="1:18" s="128" customFormat="1" ht="15" customHeight="1" x14ac:dyDescent="0.25">
      <c r="A42" s="120"/>
      <c r="B42" s="120"/>
      <c r="C42" s="120"/>
      <c r="D42" s="120"/>
      <c r="E42" s="120"/>
      <c r="F42" s="460" t="s">
        <v>145</v>
      </c>
      <c r="G42" s="460"/>
      <c r="H42" s="460"/>
      <c r="I42" s="460"/>
      <c r="J42" s="460"/>
      <c r="K42" s="460"/>
      <c r="L42" s="460"/>
      <c r="M42" s="460"/>
      <c r="N42" s="461" t="s">
        <v>54</v>
      </c>
      <c r="O42" s="461"/>
      <c r="P42" s="120"/>
      <c r="Q42" s="120"/>
      <c r="R42" s="120"/>
    </row>
    <row r="43" spans="1:18" s="128" customFormat="1" ht="15" customHeight="1" x14ac:dyDescent="0.25">
      <c r="A43" s="120"/>
      <c r="B43" s="120"/>
      <c r="C43" s="120"/>
      <c r="D43" s="120"/>
      <c r="E43" s="120"/>
      <c r="F43" s="460"/>
      <c r="G43" s="460"/>
      <c r="H43" s="460"/>
      <c r="I43" s="460"/>
      <c r="J43" s="460"/>
      <c r="K43" s="460"/>
      <c r="L43" s="460"/>
      <c r="M43" s="460"/>
      <c r="N43" s="461"/>
      <c r="O43" s="461"/>
      <c r="P43" s="120"/>
      <c r="Q43" s="120"/>
      <c r="R43" s="120"/>
    </row>
    <row r="44" spans="1:18" s="128" customFormat="1" ht="15" customHeight="1" x14ac:dyDescent="0.25">
      <c r="A44" s="120"/>
      <c r="B44" s="120"/>
      <c r="C44" s="120"/>
      <c r="D44" s="120"/>
      <c r="E44" s="120"/>
      <c r="F44" s="460"/>
      <c r="G44" s="460"/>
      <c r="H44" s="460"/>
      <c r="I44" s="460"/>
      <c r="J44" s="460"/>
      <c r="K44" s="460"/>
      <c r="L44" s="460"/>
      <c r="M44" s="460"/>
      <c r="N44" s="461"/>
      <c r="O44" s="461"/>
      <c r="P44" s="120"/>
      <c r="Q44" s="120"/>
      <c r="R44" s="120"/>
    </row>
    <row r="45" spans="1:18" s="128" customFormat="1" ht="15" customHeight="1" x14ac:dyDescent="0.25">
      <c r="A45" s="120"/>
      <c r="B45" s="120"/>
      <c r="C45" s="120"/>
      <c r="D45" s="120"/>
      <c r="E45" s="120"/>
      <c r="F45" s="460"/>
      <c r="G45" s="460"/>
      <c r="H45" s="460"/>
      <c r="I45" s="460"/>
      <c r="J45" s="460"/>
      <c r="K45" s="460"/>
      <c r="L45" s="460"/>
      <c r="M45" s="460"/>
      <c r="N45" s="461"/>
      <c r="O45" s="461"/>
      <c r="P45" s="120"/>
      <c r="Q45" s="120"/>
      <c r="R45" s="120"/>
    </row>
    <row r="46" spans="1:18" s="128" customFormat="1" ht="15" customHeight="1" x14ac:dyDescent="0.25">
      <c r="A46" s="120"/>
      <c r="B46" s="120"/>
      <c r="C46" s="120"/>
      <c r="D46" s="120"/>
      <c r="E46" s="120"/>
      <c r="F46" s="133"/>
      <c r="G46" s="133"/>
      <c r="H46" s="133"/>
      <c r="I46" s="168"/>
      <c r="J46" s="168"/>
      <c r="K46" s="169"/>
      <c r="L46" s="170"/>
      <c r="M46" s="171"/>
      <c r="N46" s="152"/>
      <c r="P46" s="120"/>
      <c r="Q46" s="120"/>
      <c r="R46" s="120"/>
    </row>
    <row r="47" spans="1:18" ht="15" customHeight="1" x14ac:dyDescent="0.25">
      <c r="F47" s="133"/>
      <c r="G47" s="133"/>
      <c r="H47" s="133"/>
      <c r="I47" s="133"/>
      <c r="J47" s="133"/>
      <c r="K47" s="133"/>
      <c r="L47" s="133"/>
      <c r="M47" s="133"/>
      <c r="N47" s="128"/>
      <c r="O47" s="128"/>
    </row>
    <row r="48" spans="1:18" ht="15" customHeight="1" x14ac:dyDescent="0.25">
      <c r="F48" s="133"/>
      <c r="G48" s="133"/>
      <c r="H48" s="133"/>
      <c r="I48" s="133"/>
      <c r="J48" s="133"/>
      <c r="K48" s="133"/>
      <c r="L48" s="133"/>
      <c r="M48" s="133"/>
      <c r="N48" s="128"/>
      <c r="O48" s="128"/>
    </row>
    <row r="49" spans="1:18" ht="15" customHeight="1" x14ac:dyDescent="0.25">
      <c r="F49" s="133"/>
      <c r="G49" s="133"/>
      <c r="H49" s="133"/>
      <c r="I49" s="133"/>
      <c r="J49" s="133"/>
      <c r="K49" s="133"/>
      <c r="L49" s="133"/>
      <c r="M49" s="133"/>
      <c r="N49" s="128"/>
      <c r="O49" s="128"/>
    </row>
    <row r="50" spans="1:18" ht="15" customHeight="1" x14ac:dyDescent="0.25">
      <c r="F50" s="133"/>
      <c r="G50" s="133"/>
      <c r="H50" s="133"/>
      <c r="I50" s="133"/>
      <c r="J50" s="133"/>
      <c r="K50" s="133"/>
      <c r="L50" s="133"/>
      <c r="M50" s="133"/>
      <c r="N50" s="128"/>
      <c r="O50" s="128"/>
    </row>
    <row r="51" spans="1:18" ht="15" customHeight="1" x14ac:dyDescent="0.25">
      <c r="F51" s="133"/>
      <c r="G51" s="133"/>
      <c r="H51" s="133"/>
      <c r="I51" s="133"/>
      <c r="J51" s="133"/>
      <c r="K51" s="133"/>
      <c r="L51" s="133"/>
      <c r="M51" s="133"/>
      <c r="N51" s="128"/>
      <c r="O51" s="128"/>
    </row>
    <row r="52" spans="1:18" s="128" customFormat="1" ht="15" customHeight="1" x14ac:dyDescent="0.25">
      <c r="A52" s="120"/>
      <c r="B52" s="120"/>
      <c r="C52" s="120"/>
      <c r="D52" s="120"/>
      <c r="E52" s="120"/>
      <c r="F52" s="133"/>
      <c r="G52" s="133"/>
      <c r="H52" s="133"/>
      <c r="I52" s="133"/>
      <c r="J52" s="133"/>
      <c r="K52" s="133"/>
      <c r="L52" s="133"/>
      <c r="M52" s="133"/>
      <c r="P52" s="120"/>
      <c r="Q52" s="120"/>
      <c r="R52" s="120"/>
    </row>
    <row r="53" spans="1:18" s="128" customFormat="1" ht="15" customHeight="1" x14ac:dyDescent="0.25">
      <c r="A53" s="123"/>
      <c r="B53" s="123"/>
      <c r="C53" s="123"/>
      <c r="D53" s="123"/>
      <c r="E53" s="120"/>
      <c r="F53" s="150"/>
      <c r="G53" s="150"/>
      <c r="H53" s="150"/>
      <c r="I53" s="150"/>
      <c r="J53" s="150"/>
      <c r="K53" s="150"/>
      <c r="L53" s="150"/>
      <c r="M53" s="150"/>
      <c r="N53" s="99"/>
      <c r="O53" s="99"/>
      <c r="P53" s="120"/>
      <c r="Q53" s="120"/>
      <c r="R53" s="120"/>
    </row>
    <row r="54" spans="1:18" s="128" customFormat="1" ht="15" customHeight="1" x14ac:dyDescent="0.25">
      <c r="A54" s="123"/>
      <c r="B54" s="123"/>
      <c r="C54" s="123"/>
      <c r="D54" s="123"/>
      <c r="E54" s="120"/>
      <c r="F54" s="150"/>
      <c r="G54" s="150"/>
      <c r="H54" s="150"/>
      <c r="I54" s="150"/>
      <c r="J54" s="150"/>
      <c r="K54" s="150"/>
      <c r="L54" s="150"/>
      <c r="M54" s="150"/>
      <c r="N54" s="99"/>
      <c r="O54" s="99"/>
      <c r="P54" s="120"/>
      <c r="Q54" s="120"/>
      <c r="R54" s="120"/>
    </row>
    <row r="55" spans="1:18" s="128" customFormat="1" ht="15" customHeight="1" x14ac:dyDescent="0.25">
      <c r="A55" s="123"/>
      <c r="B55" s="123"/>
      <c r="C55" s="123"/>
      <c r="D55" s="123"/>
      <c r="E55" s="120"/>
      <c r="H55" s="131"/>
      <c r="I55" s="131"/>
      <c r="J55" s="131"/>
      <c r="K55" s="131"/>
      <c r="P55" s="120"/>
      <c r="Q55" s="120"/>
      <c r="R55" s="120"/>
    </row>
    <row r="56" spans="1:18" s="128" customFormat="1" ht="15" customHeight="1" x14ac:dyDescent="0.25">
      <c r="A56" s="123"/>
      <c r="B56" s="123"/>
      <c r="C56" s="123"/>
      <c r="D56" s="123"/>
      <c r="E56" s="120"/>
      <c r="H56" s="131"/>
      <c r="I56" s="131"/>
      <c r="J56" s="131"/>
      <c r="K56" s="131"/>
      <c r="P56" s="120"/>
      <c r="Q56" s="120"/>
      <c r="R56" s="120"/>
    </row>
    <row r="57" spans="1:18" ht="15" hidden="1" customHeight="1" x14ac:dyDescent="0.25">
      <c r="A57" s="123"/>
      <c r="B57" s="123"/>
      <c r="C57" s="123"/>
      <c r="D57" s="123"/>
      <c r="H57" s="122"/>
      <c r="I57" s="122"/>
      <c r="J57" s="122"/>
      <c r="K57" s="122"/>
    </row>
    <row r="58" spans="1:18" ht="15" hidden="1" customHeight="1" x14ac:dyDescent="0.25">
      <c r="A58" s="123"/>
      <c r="B58" s="123"/>
      <c r="C58" s="123"/>
      <c r="D58" s="123"/>
      <c r="H58" s="122"/>
      <c r="I58" s="122"/>
      <c r="J58" s="122"/>
      <c r="K58" s="122"/>
    </row>
  </sheetData>
  <sheetProtection algorithmName="SHA-512" hashValue="rsMAQEntLs2EnxjPGrppPS/E6Np/LE6fSvLCW5WZduaeIjwCCeXKsURJNuXDK3OdVERo5RGEa65ukZExTi7msA==" saltValue="4IaGmCdB7EIygCjGLNjLTw==" spinCount="100000" sheet="1" objects="1" scenarios="1" selectLockedCells="1"/>
  <mergeCells count="25">
    <mergeCell ref="P1:R23"/>
    <mergeCell ref="G28:L28"/>
    <mergeCell ref="G22:J22"/>
    <mergeCell ref="K22:L22"/>
    <mergeCell ref="F42:M45"/>
    <mergeCell ref="N42:O45"/>
    <mergeCell ref="G32:L32"/>
    <mergeCell ref="N38:O41"/>
    <mergeCell ref="G33:L33"/>
    <mergeCell ref="F38:M41"/>
    <mergeCell ref="G29:L29"/>
    <mergeCell ref="G30:L30"/>
    <mergeCell ref="G31:L31"/>
    <mergeCell ref="A13:E18"/>
    <mergeCell ref="A1:E6"/>
    <mergeCell ref="A7:E12"/>
    <mergeCell ref="F9:O11"/>
    <mergeCell ref="F12:O14"/>
    <mergeCell ref="A19:E25"/>
    <mergeCell ref="A26:E31"/>
    <mergeCell ref="G23:L23"/>
    <mergeCell ref="G24:L24"/>
    <mergeCell ref="G25:L25"/>
    <mergeCell ref="G26:L26"/>
    <mergeCell ref="G27:L27"/>
  </mergeCells>
  <dataValidations count="1">
    <dataValidation type="list" allowBlank="1" showInputMessage="1" showErrorMessage="1" sqref="N38 N42" xr:uid="{28785112-D695-45C9-A151-97C3BFFD1B04}">
      <formula1>"SI,NO"</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BX240"/>
  <sheetViews>
    <sheetView showRowColHeaders="0" view="pageBreakPreview" zoomScale="90" zoomScaleNormal="100" zoomScaleSheetLayoutView="90" workbookViewId="0">
      <selection activeCell="J1" sqref="J1"/>
    </sheetView>
  </sheetViews>
  <sheetFormatPr baseColWidth="10" defaultColWidth="0" defaultRowHeight="12" zeroHeight="1" x14ac:dyDescent="0.2"/>
  <cols>
    <col min="1" max="1" width="2.28515625" style="23" customWidth="1"/>
    <col min="2" max="2" width="10.7109375" style="23" customWidth="1"/>
    <col min="3" max="3" width="11.7109375" style="23" customWidth="1"/>
    <col min="4" max="4" width="31.5703125" style="23" customWidth="1"/>
    <col min="5" max="5" width="13.28515625" style="23" customWidth="1"/>
    <col min="6" max="6" width="9.5703125" style="23" customWidth="1"/>
    <col min="7" max="7" width="15.140625" style="23" customWidth="1"/>
    <col min="8" max="8" width="16.7109375" style="23" bestFit="1" customWidth="1"/>
    <col min="9" max="9" width="2.28515625" style="59" customWidth="1"/>
    <col min="10" max="10" width="6.7109375" style="23" customWidth="1"/>
    <col min="11" max="11" width="14.140625" style="23" customWidth="1"/>
    <col min="12" max="12" width="11.42578125" style="23" customWidth="1"/>
    <col min="13" max="15" width="11.42578125" style="23" hidden="1" customWidth="1"/>
    <col min="16" max="76" width="0" style="23" hidden="1" customWidth="1"/>
    <col min="77" max="16384" width="11.42578125" style="23" hidden="1"/>
  </cols>
  <sheetData>
    <row r="1" spans="1:76" ht="15" customHeight="1" x14ac:dyDescent="0.2">
      <c r="A1" s="19"/>
      <c r="B1" s="20"/>
      <c r="C1" s="20"/>
      <c r="D1" s="20"/>
      <c r="E1" s="20"/>
      <c r="F1" s="21"/>
      <c r="G1" s="21"/>
      <c r="H1" s="22" t="s">
        <v>146</v>
      </c>
      <c r="J1" s="24"/>
      <c r="BX1" s="23">
        <v>2</v>
      </c>
    </row>
    <row r="2" spans="1:76" ht="15" customHeight="1" x14ac:dyDescent="0.2">
      <c r="A2" s="19"/>
      <c r="B2" s="25"/>
      <c r="C2" s="20"/>
      <c r="D2" s="20"/>
      <c r="E2" s="20"/>
      <c r="F2" s="26"/>
      <c r="G2" s="26"/>
      <c r="H2" s="26"/>
      <c r="I2" s="26"/>
      <c r="J2" s="27"/>
    </row>
    <row r="3" spans="1:76" ht="15" customHeight="1" x14ac:dyDescent="0.2">
      <c r="A3" s="19"/>
      <c r="B3" s="28"/>
      <c r="C3" s="20"/>
      <c r="D3" s="20"/>
      <c r="E3" s="20"/>
      <c r="F3" s="29"/>
      <c r="G3" s="29"/>
      <c r="H3" s="29"/>
      <c r="I3" s="29"/>
      <c r="J3" s="30"/>
    </row>
    <row r="4" spans="1:76" ht="15" customHeight="1" x14ac:dyDescent="0.2">
      <c r="A4" s="19"/>
      <c r="B4" s="28"/>
      <c r="C4" s="20"/>
      <c r="D4" s="20"/>
      <c r="E4" s="20"/>
      <c r="F4" s="31"/>
      <c r="G4" s="31"/>
      <c r="H4" s="31"/>
      <c r="I4" s="31"/>
      <c r="J4" s="32"/>
    </row>
    <row r="5" spans="1:76" ht="15" customHeight="1" x14ac:dyDescent="0.2">
      <c r="A5" s="19"/>
      <c r="B5" s="28"/>
      <c r="C5" s="20"/>
      <c r="D5" s="20"/>
      <c r="E5" s="20"/>
      <c r="F5" s="31"/>
      <c r="G5" s="31"/>
      <c r="H5" s="31"/>
      <c r="I5" s="31"/>
      <c r="J5" s="32"/>
    </row>
    <row r="6" spans="1:76" x14ac:dyDescent="0.2">
      <c r="A6" s="19"/>
      <c r="B6" s="472" t="s">
        <v>147</v>
      </c>
      <c r="C6" s="472"/>
      <c r="D6" s="472"/>
      <c r="E6" s="113"/>
      <c r="F6" s="472"/>
      <c r="G6" s="472"/>
      <c r="H6" s="472"/>
      <c r="I6" s="75"/>
      <c r="J6" s="34"/>
    </row>
    <row r="7" spans="1:76" ht="12" customHeight="1" x14ac:dyDescent="0.2">
      <c r="A7" s="19"/>
      <c r="B7" s="476" t="s">
        <v>148</v>
      </c>
      <c r="C7" s="476"/>
      <c r="D7" s="476"/>
      <c r="E7" s="25"/>
      <c r="F7" s="477"/>
      <c r="G7" s="477"/>
      <c r="H7" s="477"/>
      <c r="I7" s="26"/>
      <c r="J7" s="27"/>
    </row>
    <row r="8" spans="1:76" ht="12" customHeight="1" x14ac:dyDescent="0.2">
      <c r="A8" s="19"/>
      <c r="B8" s="115" t="s">
        <v>149</v>
      </c>
      <c r="C8" s="478">
        <f ca="1">TODAY()</f>
        <v>45271</v>
      </c>
      <c r="D8" s="478"/>
      <c r="E8" s="111"/>
      <c r="F8" s="114" t="s">
        <v>150</v>
      </c>
      <c r="G8" s="479"/>
      <c r="H8" s="479"/>
      <c r="I8" s="20"/>
      <c r="J8" s="37"/>
    </row>
    <row r="9" spans="1:76" ht="12" customHeight="1" x14ac:dyDescent="0.2">
      <c r="A9" s="19"/>
      <c r="B9" s="115" t="s">
        <v>151</v>
      </c>
      <c r="C9" s="479" t="str">
        <f>IF(AQ_DDP="","",AQ_DDP)</f>
        <v/>
      </c>
      <c r="D9" s="479"/>
      <c r="E9" s="36"/>
      <c r="F9" s="114" t="s">
        <v>152</v>
      </c>
      <c r="G9" s="479" t="str">
        <f>IF(AQ_CEDP="","",AQ_CEDP)</f>
        <v/>
      </c>
      <c r="H9" s="479"/>
      <c r="I9" s="137"/>
      <c r="J9" s="38"/>
    </row>
    <row r="10" spans="1:76" ht="12" customHeight="1" x14ac:dyDescent="0.2">
      <c r="A10" s="19"/>
      <c r="B10" s="115" t="s">
        <v>153</v>
      </c>
      <c r="C10" s="479" t="str">
        <f>IF(AQ_NDP="","",AQ_NDP)</f>
        <v/>
      </c>
      <c r="D10" s="479"/>
      <c r="E10" s="36"/>
      <c r="F10" s="114" t="s">
        <v>154</v>
      </c>
      <c r="G10" s="479" t="str">
        <f>IF(AQ_UDP="","",AQ_UDP)</f>
        <v/>
      </c>
      <c r="H10" s="479"/>
      <c r="J10" s="39"/>
    </row>
    <row r="11" spans="1:76" ht="10.5" customHeight="1" x14ac:dyDescent="0.2">
      <c r="A11" s="19"/>
      <c r="B11" s="465" t="s">
        <v>155</v>
      </c>
      <c r="C11" s="465"/>
      <c r="D11" s="465"/>
      <c r="E11" s="465"/>
      <c r="F11" s="465"/>
      <c r="G11" s="465"/>
      <c r="H11" s="465"/>
      <c r="I11" s="75"/>
      <c r="J11" s="34"/>
    </row>
    <row r="12" spans="1:76" ht="10.5" customHeight="1" x14ac:dyDescent="0.2">
      <c r="A12" s="19"/>
      <c r="B12" s="465"/>
      <c r="C12" s="465"/>
      <c r="D12" s="465"/>
      <c r="E12" s="465"/>
      <c r="F12" s="465"/>
      <c r="G12" s="465"/>
      <c r="H12" s="465"/>
      <c r="I12" s="75"/>
      <c r="J12" s="34"/>
    </row>
    <row r="13" spans="1:76" ht="12" customHeight="1" x14ac:dyDescent="0.2">
      <c r="A13" s="19"/>
      <c r="B13" s="40"/>
      <c r="C13" s="40"/>
      <c r="D13" s="40"/>
      <c r="E13" s="40"/>
      <c r="F13" s="41"/>
      <c r="G13" s="127" t="s">
        <v>127</v>
      </c>
      <c r="H13" s="127" t="s">
        <v>128</v>
      </c>
      <c r="J13" s="42"/>
    </row>
    <row r="14" spans="1:76" ht="12" customHeight="1" x14ac:dyDescent="0.2">
      <c r="A14" s="19"/>
      <c r="B14" s="25" t="s">
        <v>129</v>
      </c>
      <c r="C14" s="35"/>
      <c r="D14" s="35"/>
      <c r="E14" s="35"/>
      <c r="F14" s="35"/>
      <c r="G14" s="43" t="str">
        <f>+'DESPIECE DE MATERIAL'!M23</f>
        <v/>
      </c>
      <c r="H14" s="44" t="s">
        <v>130</v>
      </c>
      <c r="J14" s="45"/>
    </row>
    <row r="15" spans="1:76" ht="12" customHeight="1" x14ac:dyDescent="0.2">
      <c r="A15" s="19"/>
      <c r="B15" s="25" t="s">
        <v>131</v>
      </c>
      <c r="C15" s="35"/>
      <c r="D15" s="35"/>
      <c r="E15" s="35"/>
      <c r="F15" s="35"/>
      <c r="G15" s="43">
        <f>+'DESPIECE DE MATERIAL'!M24</f>
        <v>0</v>
      </c>
      <c r="H15" s="44" t="s">
        <v>132</v>
      </c>
      <c r="J15" s="45"/>
    </row>
    <row r="16" spans="1:76" ht="12" customHeight="1" x14ac:dyDescent="0.2">
      <c r="A16" s="19"/>
      <c r="B16" s="25" t="s">
        <v>133</v>
      </c>
      <c r="C16" s="35"/>
      <c r="D16" s="35"/>
      <c r="E16" s="35"/>
      <c r="F16" s="35"/>
      <c r="G16" s="43">
        <f>+'DESPIECE DE MATERIAL'!M25</f>
        <v>0</v>
      </c>
      <c r="H16" s="44" t="s">
        <v>132</v>
      </c>
      <c r="J16" s="45"/>
    </row>
    <row r="17" spans="1:10" ht="12" customHeight="1" x14ac:dyDescent="0.2">
      <c r="A17" s="19"/>
      <c r="B17" s="25" t="s">
        <v>134</v>
      </c>
      <c r="C17" s="35"/>
      <c r="D17" s="25"/>
      <c r="E17" s="35"/>
      <c r="F17" s="35"/>
      <c r="G17" s="43" t="str">
        <f>+'DESPIECE DE MATERIAL'!M26</f>
        <v/>
      </c>
      <c r="H17" s="44" t="s">
        <v>132</v>
      </c>
      <c r="J17" s="45"/>
    </row>
    <row r="18" spans="1:10" ht="12" customHeight="1" x14ac:dyDescent="0.2">
      <c r="A18" s="19"/>
      <c r="B18" s="25" t="s">
        <v>135</v>
      </c>
      <c r="C18" s="35"/>
      <c r="D18" s="35"/>
      <c r="E18" s="35"/>
      <c r="F18" s="35"/>
      <c r="G18" s="43">
        <f>+'DESPIECE DE MATERIAL'!M27</f>
        <v>0</v>
      </c>
      <c r="H18" s="44" t="s">
        <v>136</v>
      </c>
      <c r="J18" s="45"/>
    </row>
    <row r="19" spans="1:10" ht="12" customHeight="1" x14ac:dyDescent="0.2">
      <c r="A19" s="19"/>
      <c r="B19" s="25" t="s">
        <v>137</v>
      </c>
      <c r="C19" s="35"/>
      <c r="D19" s="35"/>
      <c r="E19" s="35"/>
      <c r="F19" s="35"/>
      <c r="G19" s="119">
        <f>+'DESPIECE DE MATERIAL'!M28</f>
        <v>0</v>
      </c>
      <c r="H19" s="44" t="s">
        <v>138</v>
      </c>
      <c r="J19" s="45"/>
    </row>
    <row r="20" spans="1:10" ht="12" customHeight="1" x14ac:dyDescent="0.2">
      <c r="A20" s="19"/>
      <c r="B20" s="25" t="s">
        <v>139</v>
      </c>
      <c r="C20" s="35"/>
      <c r="D20" s="35"/>
      <c r="E20" s="35"/>
      <c r="F20" s="35"/>
      <c r="G20" s="43" t="str">
        <f>+'DESPIECE DE MATERIAL'!M29</f>
        <v/>
      </c>
      <c r="H20" s="44" t="s">
        <v>130</v>
      </c>
      <c r="J20" s="45"/>
    </row>
    <row r="21" spans="1:10" ht="12" customHeight="1" x14ac:dyDescent="0.2">
      <c r="A21" s="19"/>
      <c r="B21" s="25" t="s">
        <v>140</v>
      </c>
      <c r="C21" s="35"/>
      <c r="D21" s="35"/>
      <c r="E21" s="35"/>
      <c r="F21" s="35"/>
      <c r="G21" s="43" t="str">
        <f>+'DESPIECE DE MATERIAL'!M30</f>
        <v/>
      </c>
      <c r="H21" s="44" t="s">
        <v>138</v>
      </c>
      <c r="J21" s="45"/>
    </row>
    <row r="22" spans="1:10" ht="12" customHeight="1" x14ac:dyDescent="0.2">
      <c r="A22" s="19"/>
      <c r="B22" s="25" t="s">
        <v>141</v>
      </c>
      <c r="C22" s="35"/>
      <c r="D22" s="35"/>
      <c r="E22" s="35"/>
      <c r="F22" s="35"/>
      <c r="G22" s="43" t="str">
        <f>+'DESPIECE DE MATERIAL'!M31</f>
        <v/>
      </c>
      <c r="H22" s="44" t="s">
        <v>130</v>
      </c>
      <c r="J22" s="45"/>
    </row>
    <row r="23" spans="1:10" ht="12" customHeight="1" x14ac:dyDescent="0.2">
      <c r="A23" s="19"/>
      <c r="B23" s="25" t="s">
        <v>142</v>
      </c>
      <c r="C23" s="35"/>
      <c r="D23" s="35"/>
      <c r="E23" s="35"/>
      <c r="F23" s="35"/>
      <c r="G23" s="43" t="str">
        <f>+'DESPIECE DE MATERIAL'!M32</f>
        <v/>
      </c>
      <c r="H23" s="44" t="s">
        <v>136</v>
      </c>
      <c r="J23" s="45"/>
    </row>
    <row r="24" spans="1:10" ht="12" customHeight="1" x14ac:dyDescent="0.2">
      <c r="A24" s="19"/>
      <c r="B24" s="25" t="s">
        <v>143</v>
      </c>
      <c r="C24" s="35"/>
      <c r="D24" s="35"/>
      <c r="E24" s="35"/>
      <c r="F24" s="35"/>
      <c r="G24" s="43" t="str">
        <f>+'DESPIECE DE MATERIAL'!M33</f>
        <v/>
      </c>
      <c r="H24" s="44" t="s">
        <v>136</v>
      </c>
      <c r="J24" s="45"/>
    </row>
    <row r="25" spans="1:10" ht="12" customHeight="1" x14ac:dyDescent="0.2">
      <c r="A25" s="19"/>
      <c r="B25" s="46"/>
      <c r="C25" s="47"/>
      <c r="D25" s="47"/>
      <c r="E25" s="28"/>
      <c r="F25" s="48"/>
      <c r="G25" s="48"/>
      <c r="H25" s="48"/>
      <c r="J25" s="49"/>
    </row>
    <row r="26" spans="1:10" ht="10.5" customHeight="1" x14ac:dyDescent="0.2">
      <c r="A26" s="19"/>
      <c r="B26" s="480" t="s">
        <v>2764</v>
      </c>
      <c r="C26" s="480"/>
      <c r="D26" s="480"/>
      <c r="E26" s="480"/>
      <c r="F26" s="480"/>
      <c r="G26" s="480"/>
      <c r="H26" s="480"/>
      <c r="I26" s="75"/>
      <c r="J26" s="34"/>
    </row>
    <row r="27" spans="1:10" ht="10.5" customHeight="1" x14ac:dyDescent="0.2">
      <c r="A27" s="19"/>
      <c r="B27" s="480"/>
      <c r="C27" s="480"/>
      <c r="D27" s="480"/>
      <c r="E27" s="480"/>
      <c r="F27" s="480"/>
      <c r="G27" s="480"/>
      <c r="H27" s="480"/>
      <c r="I27" s="75"/>
      <c r="J27" s="34"/>
    </row>
    <row r="28" spans="1:10" x14ac:dyDescent="0.2">
      <c r="A28" s="19"/>
      <c r="B28" s="20"/>
      <c r="C28" s="20"/>
      <c r="D28" s="20"/>
      <c r="E28" s="20"/>
      <c r="F28" s="21"/>
      <c r="G28" s="21"/>
      <c r="H28" s="21"/>
      <c r="I28" s="21"/>
      <c r="J28" s="50"/>
    </row>
    <row r="29" spans="1:10" x14ac:dyDescent="0.2">
      <c r="A29" s="19"/>
      <c r="B29" s="20"/>
      <c r="C29" s="20"/>
      <c r="D29" s="20"/>
      <c r="E29" s="20"/>
      <c r="F29" s="21"/>
      <c r="G29" s="21"/>
      <c r="H29" s="21"/>
      <c r="I29" s="21"/>
      <c r="J29" s="50"/>
    </row>
    <row r="30" spans="1:10" x14ac:dyDescent="0.2">
      <c r="A30" s="19"/>
      <c r="B30" s="20"/>
      <c r="C30" s="20"/>
      <c r="D30" s="20"/>
      <c r="E30" s="20"/>
      <c r="F30" s="21"/>
      <c r="G30" s="21"/>
      <c r="H30" s="21"/>
      <c r="I30" s="21"/>
      <c r="J30" s="50"/>
    </row>
    <row r="31" spans="1:10" x14ac:dyDescent="0.2">
      <c r="A31" s="19"/>
      <c r="B31" s="20"/>
      <c r="C31" s="20"/>
      <c r="D31" s="20"/>
      <c r="E31" s="20"/>
      <c r="F31" s="21"/>
      <c r="G31" s="21"/>
      <c r="H31" s="21"/>
      <c r="I31" s="21"/>
      <c r="J31" s="50"/>
    </row>
    <row r="32" spans="1:10" x14ac:dyDescent="0.2">
      <c r="A32" s="19"/>
      <c r="B32" s="20"/>
      <c r="C32" s="51"/>
      <c r="D32" s="51"/>
      <c r="E32" s="20"/>
      <c r="F32" s="21"/>
      <c r="G32" s="21"/>
      <c r="H32" s="21"/>
      <c r="I32" s="21"/>
      <c r="J32" s="50"/>
    </row>
    <row r="33" spans="1:15" x14ac:dyDescent="0.2">
      <c r="A33" s="19"/>
      <c r="B33" s="46"/>
      <c r="C33" s="52"/>
      <c r="D33" s="52"/>
      <c r="E33" s="52"/>
      <c r="F33" s="52"/>
      <c r="G33" s="52"/>
      <c r="H33" s="52"/>
      <c r="I33" s="52"/>
      <c r="J33" s="53"/>
    </row>
    <row r="34" spans="1:15" x14ac:dyDescent="0.2">
      <c r="A34" s="19"/>
      <c r="B34" s="46"/>
      <c r="C34" s="52"/>
      <c r="D34" s="52"/>
      <c r="E34" s="52"/>
      <c r="F34" s="52"/>
      <c r="G34" s="52"/>
      <c r="H34" s="52"/>
      <c r="I34" s="52"/>
      <c r="J34" s="53"/>
      <c r="O34" s="23" t="s">
        <v>156</v>
      </c>
    </row>
    <row r="35" spans="1:15" x14ac:dyDescent="0.2">
      <c r="A35" s="19"/>
      <c r="B35" s="46"/>
      <c r="C35" s="28"/>
      <c r="D35" s="28"/>
      <c r="E35" s="28"/>
      <c r="F35" s="28"/>
      <c r="G35" s="28"/>
      <c r="H35" s="28"/>
      <c r="I35" s="21"/>
      <c r="J35" s="50"/>
    </row>
    <row r="36" spans="1:15" x14ac:dyDescent="0.2">
      <c r="A36" s="19"/>
      <c r="B36" s="46"/>
      <c r="C36" s="28"/>
      <c r="D36" s="28"/>
      <c r="E36" s="54"/>
      <c r="F36" s="54"/>
      <c r="G36" s="54"/>
      <c r="H36" s="54"/>
      <c r="I36" s="54"/>
      <c r="J36" s="55"/>
    </row>
    <row r="37" spans="1:15" x14ac:dyDescent="0.2">
      <c r="A37" s="19"/>
      <c r="B37" s="46"/>
      <c r="C37" s="20"/>
      <c r="D37" s="20"/>
      <c r="E37" s="20"/>
      <c r="F37" s="20"/>
      <c r="G37" s="20"/>
      <c r="H37" s="20"/>
      <c r="I37" s="20"/>
      <c r="J37" s="37"/>
    </row>
    <row r="38" spans="1:15" x14ac:dyDescent="0.2">
      <c r="A38" s="19"/>
      <c r="B38" s="46"/>
      <c r="C38" s="20"/>
      <c r="D38" s="20"/>
      <c r="E38" s="20"/>
      <c r="F38" s="20"/>
      <c r="G38" s="20"/>
      <c r="H38" s="20"/>
      <c r="I38" s="20"/>
      <c r="J38" s="37"/>
    </row>
    <row r="39" spans="1:15" x14ac:dyDescent="0.2">
      <c r="A39" s="19"/>
      <c r="B39" s="46"/>
      <c r="C39" s="20"/>
      <c r="D39" s="20"/>
      <c r="E39" s="20"/>
      <c r="F39" s="20"/>
      <c r="G39" s="20"/>
      <c r="H39" s="20"/>
      <c r="I39" s="20"/>
      <c r="J39" s="37"/>
    </row>
    <row r="40" spans="1:15" x14ac:dyDescent="0.2">
      <c r="A40" s="19"/>
      <c r="B40" s="56"/>
      <c r="C40" s="25"/>
      <c r="D40" s="25"/>
      <c r="E40" s="56"/>
      <c r="F40" s="57"/>
      <c r="G40" s="57"/>
      <c r="H40" s="57"/>
      <c r="I40" s="57"/>
      <c r="J40" s="58"/>
    </row>
    <row r="41" spans="1:15" x14ac:dyDescent="0.2">
      <c r="A41" s="19"/>
      <c r="B41" s="20"/>
      <c r="C41" s="20"/>
      <c r="D41" s="20"/>
      <c r="E41" s="56"/>
      <c r="F41" s="21"/>
      <c r="G41" s="21"/>
      <c r="H41" s="21"/>
      <c r="I41" s="21"/>
      <c r="J41" s="50"/>
    </row>
    <row r="42" spans="1:15" x14ac:dyDescent="0.2">
      <c r="A42" s="19"/>
      <c r="B42" s="59"/>
      <c r="C42" s="59"/>
      <c r="D42" s="59"/>
      <c r="E42" s="59"/>
      <c r="F42" s="59"/>
      <c r="G42" s="59"/>
      <c r="H42" s="59"/>
    </row>
    <row r="43" spans="1:15" s="61" customFormat="1" ht="12.75" customHeight="1" x14ac:dyDescent="0.2">
      <c r="A43" s="60"/>
      <c r="B43" s="473" t="s">
        <v>3039</v>
      </c>
      <c r="C43" s="473"/>
      <c r="D43" s="473"/>
      <c r="F43" s="62"/>
      <c r="G43" s="62"/>
      <c r="H43" s="62"/>
      <c r="I43" s="138"/>
      <c r="J43" s="63"/>
    </row>
    <row r="44" spans="1:15" s="61" customFormat="1" ht="12.75" customHeight="1" x14ac:dyDescent="0.2">
      <c r="A44" s="60"/>
      <c r="B44" s="474" t="s">
        <v>3040</v>
      </c>
      <c r="C44" s="474"/>
      <c r="D44" s="474"/>
      <c r="E44" s="466" t="s">
        <v>157</v>
      </c>
      <c r="F44" s="467"/>
      <c r="G44" s="467"/>
      <c r="H44" s="468"/>
      <c r="I44" s="139"/>
      <c r="J44" s="64"/>
    </row>
    <row r="45" spans="1:15" s="61" customFormat="1" ht="12.75" customHeight="1" x14ac:dyDescent="0.2">
      <c r="A45" s="60"/>
      <c r="B45" s="474" t="s">
        <v>3041</v>
      </c>
      <c r="C45" s="474"/>
      <c r="D45" s="474"/>
      <c r="E45" s="469"/>
      <c r="F45" s="470"/>
      <c r="G45" s="470"/>
      <c r="H45" s="471"/>
      <c r="I45" s="140"/>
      <c r="J45" s="65"/>
    </row>
    <row r="46" spans="1:15" s="61" customFormat="1" ht="12.75" customHeight="1" x14ac:dyDescent="0.2">
      <c r="A46" s="60"/>
      <c r="B46" s="462" t="s">
        <v>3060</v>
      </c>
      <c r="C46" s="462"/>
      <c r="D46" s="462"/>
      <c r="E46" s="62"/>
      <c r="F46" s="62"/>
      <c r="G46" s="62"/>
      <c r="H46" s="62"/>
      <c r="I46" s="141"/>
      <c r="J46" s="5"/>
    </row>
    <row r="47" spans="1:15" s="68" customFormat="1" ht="15" customHeight="1" x14ac:dyDescent="0.2">
      <c r="A47" s="66"/>
      <c r="B47" s="1"/>
      <c r="C47" s="67"/>
      <c r="D47" s="67"/>
      <c r="E47" s="2"/>
      <c r="F47" s="3"/>
      <c r="G47" s="3"/>
      <c r="H47" s="22" t="s">
        <v>158</v>
      </c>
      <c r="I47" s="3"/>
      <c r="J47" s="4"/>
    </row>
    <row r="48" spans="1:15" ht="15" customHeight="1" x14ac:dyDescent="0.2">
      <c r="A48" s="19"/>
      <c r="B48" s="20"/>
      <c r="C48" s="20"/>
      <c r="D48" s="20"/>
      <c r="E48" s="20"/>
      <c r="F48" s="21"/>
      <c r="G48" s="21"/>
      <c r="J48" s="24"/>
    </row>
    <row r="49" spans="1:13" ht="15" customHeight="1" x14ac:dyDescent="0.2">
      <c r="A49" s="19"/>
      <c r="B49" s="25"/>
      <c r="C49" s="20"/>
      <c r="D49" s="20"/>
      <c r="E49" s="20"/>
      <c r="F49" s="26"/>
      <c r="G49" s="26"/>
      <c r="H49" s="26"/>
      <c r="I49" s="26"/>
      <c r="J49" s="27"/>
    </row>
    <row r="50" spans="1:13" ht="15" customHeight="1" x14ac:dyDescent="0.2">
      <c r="A50" s="19"/>
      <c r="B50" s="28"/>
      <c r="C50" s="20"/>
      <c r="D50" s="20"/>
      <c r="E50" s="20"/>
      <c r="F50" s="29"/>
      <c r="G50" s="29"/>
      <c r="H50" s="29"/>
      <c r="I50" s="29"/>
      <c r="J50" s="30"/>
    </row>
    <row r="51" spans="1:13" ht="15" customHeight="1" x14ac:dyDescent="0.2">
      <c r="A51" s="19"/>
      <c r="B51" s="28"/>
      <c r="C51" s="20"/>
      <c r="D51" s="20"/>
      <c r="E51" s="20"/>
      <c r="F51" s="31"/>
      <c r="G51" s="31"/>
      <c r="H51" s="31"/>
      <c r="I51" s="31"/>
      <c r="J51" s="32"/>
    </row>
    <row r="52" spans="1:13" s="37" customFormat="1" ht="14.1" customHeight="1" x14ac:dyDescent="0.25">
      <c r="A52" s="19"/>
      <c r="B52" s="482" t="s">
        <v>125</v>
      </c>
      <c r="C52" s="482"/>
      <c r="D52" s="482"/>
      <c r="E52" s="482"/>
      <c r="F52" s="482"/>
      <c r="G52" s="482"/>
      <c r="H52" s="482"/>
      <c r="I52" s="75"/>
      <c r="J52" s="34"/>
    </row>
    <row r="53" spans="1:13" s="37" customFormat="1" ht="14.1" customHeight="1" x14ac:dyDescent="0.25">
      <c r="A53" s="19"/>
      <c r="B53" s="482"/>
      <c r="C53" s="482"/>
      <c r="D53" s="482"/>
      <c r="E53" s="482"/>
      <c r="F53" s="482"/>
      <c r="G53" s="482"/>
      <c r="H53" s="482"/>
      <c r="I53" s="75"/>
      <c r="J53" s="34"/>
    </row>
    <row r="54" spans="1:13" s="37" customFormat="1" ht="14.1" customHeight="1" x14ac:dyDescent="0.25">
      <c r="A54" s="19"/>
      <c r="B54" s="112"/>
      <c r="C54" s="253"/>
      <c r="D54" s="252"/>
      <c r="E54" s="252"/>
      <c r="F54" s="21"/>
      <c r="G54" s="21"/>
      <c r="H54" s="21"/>
      <c r="I54" s="142"/>
      <c r="J54" s="69"/>
    </row>
    <row r="55" spans="1:13" s="37" customFormat="1" ht="14.1" customHeight="1" x14ac:dyDescent="0.25">
      <c r="A55" s="19"/>
      <c r="B55" s="124" t="s">
        <v>159</v>
      </c>
      <c r="C55" s="463" t="s">
        <v>160</v>
      </c>
      <c r="D55" s="463"/>
      <c r="E55" s="124" t="s">
        <v>128</v>
      </c>
      <c r="F55" s="124" t="s">
        <v>127</v>
      </c>
      <c r="G55" s="110" t="s">
        <v>161</v>
      </c>
      <c r="H55" s="124" t="s">
        <v>29</v>
      </c>
      <c r="I55" s="143"/>
    </row>
    <row r="56" spans="1:13" s="37" customFormat="1" ht="14.1" customHeight="1" x14ac:dyDescent="0.25">
      <c r="A56" s="19"/>
      <c r="B56" s="463" t="s">
        <v>28</v>
      </c>
      <c r="C56" s="463"/>
      <c r="D56" s="463"/>
      <c r="E56" s="463"/>
      <c r="F56" s="463"/>
      <c r="G56" s="463"/>
      <c r="H56" s="463"/>
      <c r="I56" s="144"/>
    </row>
    <row r="57" spans="1:13" s="37" customFormat="1" ht="14.1" customHeight="1" x14ac:dyDescent="0.25">
      <c r="A57" s="19"/>
      <c r="B57" s="126">
        <v>2901790</v>
      </c>
      <c r="C57" s="475" t="str">
        <f>_xlfn.IFNA(VLOOKUP(B57,PRECIOS[],COLUMN(PRECIOS[ITEM]),FALSE),"")</f>
        <v>CELDA AQUACELL RD CON KIT</v>
      </c>
      <c r="D57" s="475"/>
      <c r="E57" s="126" t="s">
        <v>162</v>
      </c>
      <c r="F57" s="126" t="str">
        <f>G21</f>
        <v/>
      </c>
      <c r="G57" s="70">
        <f>_xlfn.IFNA(VLOOKUP(B57,PRECIOS[],COLUMN(PRECIOS[PRECIO]),FALSE),"")</f>
        <v>221917</v>
      </c>
      <c r="H57" s="70" t="str">
        <f>IFERROR(G57*F57,"")</f>
        <v/>
      </c>
      <c r="I57" s="143"/>
    </row>
    <row r="58" spans="1:13" s="37" customFormat="1" ht="14.1" customHeight="1" x14ac:dyDescent="0.25">
      <c r="A58" s="19"/>
      <c r="B58" s="126" t="s">
        <v>163</v>
      </c>
      <c r="C58" s="475" t="s">
        <v>164</v>
      </c>
      <c r="D58" s="475"/>
      <c r="E58" s="126" t="s">
        <v>136</v>
      </c>
      <c r="F58" s="126" t="str">
        <f>+G23</f>
        <v/>
      </c>
      <c r="G58" s="70">
        <v>11718</v>
      </c>
      <c r="H58" s="70" t="str">
        <f>IFERROR(G58*F58,"")</f>
        <v/>
      </c>
      <c r="I58" s="143"/>
    </row>
    <row r="59" spans="1:13" s="37" customFormat="1" ht="14.1" customHeight="1" x14ac:dyDescent="0.25">
      <c r="A59" s="19"/>
      <c r="B59" s="126" t="s">
        <v>163</v>
      </c>
      <c r="C59" s="475" t="s">
        <v>165</v>
      </c>
      <c r="D59" s="475"/>
      <c r="E59" s="126" t="s">
        <v>136</v>
      </c>
      <c r="F59" s="251" t="str">
        <f>+G24</f>
        <v/>
      </c>
      <c r="G59" s="70">
        <v>4100</v>
      </c>
      <c r="H59" s="70" t="str">
        <f>IFERROR(G59*F59,"")</f>
        <v/>
      </c>
      <c r="I59" s="143"/>
    </row>
    <row r="60" spans="1:13" s="37" customFormat="1" ht="14.1" customHeight="1" x14ac:dyDescent="0.25">
      <c r="A60" s="19"/>
      <c r="B60" s="481" t="s">
        <v>166</v>
      </c>
      <c r="C60" s="481"/>
      <c r="D60" s="481"/>
      <c r="E60" s="481"/>
      <c r="F60" s="481"/>
      <c r="G60" s="481"/>
      <c r="H60" s="481"/>
      <c r="I60" s="144"/>
    </row>
    <row r="61" spans="1:13" s="37" customFormat="1" ht="14.1" customHeight="1" x14ac:dyDescent="0.25">
      <c r="A61" s="19"/>
      <c r="B61" s="126">
        <v>2900331</v>
      </c>
      <c r="C61" s="475" t="str">
        <f>_xlfn.IFNA(VLOOKUP(B61,PRECIOS[],COLUMN(PRECIOS[ITEM]),FALSE),"")</f>
        <v>TB SAN 4 6M</v>
      </c>
      <c r="D61" s="475"/>
      <c r="E61" s="126" t="s">
        <v>162</v>
      </c>
      <c r="F61" s="126" t="str">
        <f>IFERROR(ROUNDUP(((ROUNDUP((G22/100),0)*IF('DATOS DEL PROYECTO'!I38="No",DIMENSIONAMIENTO!H85,DIMENSIONAMIENTO_2!H17)*1.3)/6),0),"")</f>
        <v/>
      </c>
      <c r="G61" s="70">
        <f>_xlfn.IFNA(VLOOKUP(B61,PRECIOS[],COLUMN(PRECIOS[PRECIO]),FALSE),"")</f>
        <v>160159</v>
      </c>
      <c r="H61" s="70" t="str">
        <f>IFERROR(G61*F61,"")</f>
        <v/>
      </c>
      <c r="I61" s="143"/>
      <c r="J61" s="197"/>
      <c r="K61" s="197"/>
      <c r="L61" s="197"/>
      <c r="M61" s="71"/>
    </row>
    <row r="62" spans="1:13" s="37" customFormat="1" ht="14.1" customHeight="1" x14ac:dyDescent="0.25">
      <c r="A62" s="19"/>
      <c r="B62" s="126">
        <v>2901221</v>
      </c>
      <c r="C62" s="475" t="str">
        <f>_xlfn.IFNA(VLOOKUP(B62,PRECIOS[],COLUMN(PRECIOS[ITEM]),FALSE),"")</f>
        <v>CODO SAN 90 4 CXC - 10 UN</v>
      </c>
      <c r="D62" s="475"/>
      <c r="E62" s="126" t="s">
        <v>162</v>
      </c>
      <c r="F62" s="126" t="str">
        <f>IFERROR(ROUNDUP((G22/100),0)*2,"")</f>
        <v/>
      </c>
      <c r="G62" s="70">
        <f>_xlfn.IFNA(VLOOKUP(B62,PRECIOS[],COLUMN(PRECIOS[PRECIO]),FALSE),"")</f>
        <v>13643</v>
      </c>
      <c r="H62" s="70" t="str">
        <f>IFERROR(G62*F62,"")</f>
        <v/>
      </c>
      <c r="I62" s="143"/>
      <c r="J62" s="197"/>
      <c r="K62" s="197"/>
      <c r="L62" s="197"/>
      <c r="M62" s="71"/>
    </row>
    <row r="63" spans="1:13" s="37" customFormat="1" ht="14.1" customHeight="1" x14ac:dyDescent="0.25">
      <c r="A63" s="19"/>
      <c r="B63" s="126">
        <v>2910000</v>
      </c>
      <c r="C63" s="475" t="str">
        <f>_xlfn.IFNA(VLOOKUP(B63,PRECIOS[],COLUMN(PRECIOS[ITEM]),FALSE),"")</f>
        <v>SOLDADURA APLIC PVC LOW VOC 1/4 GAL-12UN</v>
      </c>
      <c r="D63" s="475"/>
      <c r="E63" s="126" t="s">
        <v>162</v>
      </c>
      <c r="F63" s="126" t="str">
        <f>IFERROR(ROUNDUP((F61*2)/60+(F62*2)/45,0),"")</f>
        <v/>
      </c>
      <c r="G63" s="70">
        <f>_xlfn.IFNA(VLOOKUP(B63,PRECIOS[],COLUMN(PRECIOS[PRECIO]),FALSE),"")</f>
        <v>104430</v>
      </c>
      <c r="H63" s="70" t="str">
        <f>IFERROR(G63*F63,"")</f>
        <v/>
      </c>
      <c r="I63" s="143"/>
      <c r="J63" s="197"/>
      <c r="K63" s="197"/>
      <c r="L63" s="197"/>
      <c r="M63" s="71"/>
    </row>
    <row r="64" spans="1:13" s="37" customFormat="1" ht="14.1" customHeight="1" x14ac:dyDescent="0.25">
      <c r="A64" s="19"/>
      <c r="B64" s="126">
        <v>2902737</v>
      </c>
      <c r="C64" s="475" t="str">
        <f>_xlfn.IFNA(VLOOKUP(B64,PRECIOS[],COLUMN(PRECIOS[ITEM]),FALSE),"")</f>
        <v>LIMPIADOR P/UNION 1/4GAL - 12 UN</v>
      </c>
      <c r="D64" s="475"/>
      <c r="E64" s="126" t="s">
        <v>162</v>
      </c>
      <c r="F64" s="126" t="str">
        <f>IFERROR(ROUNDUP((F61*2)/60+(F62*2)/45,0),"")</f>
        <v/>
      </c>
      <c r="G64" s="70">
        <f>_xlfn.IFNA(VLOOKUP(B64,PRECIOS[],COLUMN(PRECIOS[PRECIO]),FALSE),"")</f>
        <v>50354</v>
      </c>
      <c r="H64" s="70" t="str">
        <f>IFERROR(G64*F64,"")</f>
        <v/>
      </c>
      <c r="I64" s="143"/>
      <c r="J64" s="197"/>
      <c r="K64" s="197"/>
      <c r="L64" s="197"/>
      <c r="M64" s="71"/>
    </row>
    <row r="65" spans="1:11" s="37" customFormat="1" ht="14.1" customHeight="1" x14ac:dyDescent="0.25">
      <c r="A65" s="19"/>
      <c r="B65" s="472" t="s">
        <v>167</v>
      </c>
      <c r="C65" s="472"/>
      <c r="D65" s="472"/>
      <c r="E65" s="472"/>
      <c r="F65" s="472"/>
      <c r="G65" s="472"/>
      <c r="H65" s="472"/>
      <c r="I65" s="144"/>
    </row>
    <row r="66" spans="1:11" s="37" customFormat="1" ht="14.1" customHeight="1" x14ac:dyDescent="0.25">
      <c r="A66" s="20"/>
      <c r="B66" s="126"/>
      <c r="C66" s="475" t="str">
        <f>_xlfn.IFNA(VLOOKUP(B66,PRECIOS[],COLUMN(PRECIOS[ITEM]),FALSE),"")</f>
        <v/>
      </c>
      <c r="D66" s="475"/>
      <c r="E66" s="126" t="str">
        <f>IF(B66&lt;&gt;"","UN","")</f>
        <v/>
      </c>
      <c r="F66" s="126"/>
      <c r="G66" s="70" t="str">
        <f>_xlfn.IFNA(VLOOKUP(B66,PRECIOS[],COLUMN(PRECIOS[PRECIO]),FALSE),"")</f>
        <v/>
      </c>
      <c r="H66" s="70" t="str">
        <f>IFERROR(G66*F66,"")</f>
        <v/>
      </c>
      <c r="I66" s="144"/>
    </row>
    <row r="67" spans="1:11" s="37" customFormat="1" ht="14.1" customHeight="1" x14ac:dyDescent="0.25">
      <c r="A67" s="20"/>
      <c r="B67" s="72"/>
      <c r="C67" s="126"/>
      <c r="D67" s="126"/>
      <c r="E67" s="126"/>
      <c r="F67" s="126"/>
      <c r="G67" s="73" t="s">
        <v>168</v>
      </c>
      <c r="H67" s="74">
        <f>SUM(H57:H66)</f>
        <v>0</v>
      </c>
      <c r="I67" s="143"/>
    </row>
    <row r="68" spans="1:11" s="37" customFormat="1" ht="14.1" customHeight="1" x14ac:dyDescent="0.25">
      <c r="A68" s="19"/>
      <c r="B68" s="75"/>
      <c r="C68" s="75"/>
      <c r="D68" s="75"/>
      <c r="E68" s="75"/>
      <c r="F68" s="75"/>
      <c r="G68" s="73" t="s">
        <v>169</v>
      </c>
      <c r="H68" s="74">
        <f>H67*0.19</f>
        <v>0</v>
      </c>
      <c r="I68" s="75"/>
      <c r="J68" s="33"/>
      <c r="K68" s="198"/>
    </row>
    <row r="69" spans="1:11" s="37" customFormat="1" ht="14.1" customHeight="1" x14ac:dyDescent="0.25">
      <c r="A69" s="19"/>
      <c r="B69" s="75"/>
      <c r="C69" s="75"/>
      <c r="D69" s="75"/>
      <c r="E69" s="75"/>
      <c r="F69" s="75"/>
      <c r="G69" s="73" t="s">
        <v>29</v>
      </c>
      <c r="H69" s="74">
        <f>H67+H68</f>
        <v>0</v>
      </c>
      <c r="I69" s="75"/>
      <c r="J69" s="33"/>
      <c r="K69" s="198"/>
    </row>
    <row r="70" spans="1:11" ht="14.1" customHeight="1" x14ac:dyDescent="0.2">
      <c r="A70" s="19"/>
      <c r="B70" s="465" t="s">
        <v>170</v>
      </c>
      <c r="C70" s="465"/>
      <c r="D70" s="465"/>
      <c r="E70" s="465"/>
      <c r="F70" s="465"/>
      <c r="G70" s="465"/>
      <c r="H70" s="465"/>
      <c r="I70" s="465"/>
      <c r="J70" s="34"/>
      <c r="K70" s="199"/>
    </row>
    <row r="71" spans="1:11" ht="14.1" customHeight="1" x14ac:dyDescent="0.2">
      <c r="A71" s="19"/>
      <c r="B71" s="465"/>
      <c r="C71" s="465"/>
      <c r="D71" s="465"/>
      <c r="E71" s="465"/>
      <c r="F71" s="465"/>
      <c r="G71" s="465"/>
      <c r="H71" s="465"/>
      <c r="I71" s="465"/>
      <c r="J71" s="34"/>
    </row>
    <row r="72" spans="1:11" ht="48" customHeight="1" x14ac:dyDescent="0.2">
      <c r="A72" s="19"/>
      <c r="B72" s="46" t="s">
        <v>171</v>
      </c>
      <c r="C72" s="464" t="s">
        <v>3042</v>
      </c>
      <c r="D72" s="464"/>
      <c r="E72" s="464"/>
      <c r="F72" s="464"/>
      <c r="G72" s="464"/>
      <c r="H72" s="464"/>
      <c r="I72" s="52"/>
      <c r="J72" s="34"/>
    </row>
    <row r="73" spans="1:11" ht="37.5" customHeight="1" x14ac:dyDescent="0.2">
      <c r="A73" s="19"/>
      <c r="B73" s="46" t="s">
        <v>171</v>
      </c>
      <c r="C73" s="464" t="s">
        <v>3043</v>
      </c>
      <c r="D73" s="464"/>
      <c r="E73" s="464"/>
      <c r="F73" s="464"/>
      <c r="G73" s="464"/>
      <c r="H73" s="464"/>
      <c r="I73" s="52"/>
      <c r="J73" s="34"/>
    </row>
    <row r="74" spans="1:11" ht="36" customHeight="1" x14ac:dyDescent="0.2">
      <c r="A74" s="19"/>
      <c r="B74" s="46" t="s">
        <v>171</v>
      </c>
      <c r="C74" s="464" t="s">
        <v>3038</v>
      </c>
      <c r="D74" s="464"/>
      <c r="E74" s="464"/>
      <c r="F74" s="464"/>
      <c r="G74" s="464"/>
      <c r="H74" s="464"/>
      <c r="I74" s="52"/>
      <c r="J74" s="53"/>
    </row>
    <row r="75" spans="1:11" ht="24" customHeight="1" x14ac:dyDescent="0.2">
      <c r="A75" s="19"/>
      <c r="B75" s="46" t="s">
        <v>171</v>
      </c>
      <c r="C75" s="464" t="s">
        <v>172</v>
      </c>
      <c r="D75" s="464"/>
      <c r="E75" s="464"/>
      <c r="F75" s="464"/>
      <c r="G75" s="464"/>
      <c r="H75" s="464"/>
      <c r="I75" s="76"/>
      <c r="J75" s="53"/>
    </row>
    <row r="76" spans="1:11" ht="6.75" customHeight="1" x14ac:dyDescent="0.2">
      <c r="A76" s="19"/>
      <c r="B76" s="46"/>
      <c r="C76" s="125"/>
      <c r="D76" s="125"/>
      <c r="E76" s="125"/>
      <c r="F76" s="125"/>
      <c r="G76" s="125"/>
      <c r="H76" s="125"/>
      <c r="I76" s="54"/>
      <c r="J76" s="55"/>
    </row>
    <row r="77" spans="1:11" s="61" customFormat="1" ht="12.75" customHeight="1" x14ac:dyDescent="0.2">
      <c r="A77" s="60"/>
      <c r="B77" s="473" t="s">
        <v>3039</v>
      </c>
      <c r="C77" s="473"/>
      <c r="D77" s="473"/>
      <c r="F77" s="62"/>
      <c r="G77" s="62"/>
      <c r="H77" s="62"/>
      <c r="I77" s="138"/>
      <c r="J77" s="63"/>
    </row>
    <row r="78" spans="1:11" s="61" customFormat="1" ht="12.75" customHeight="1" x14ac:dyDescent="0.2">
      <c r="A78" s="60"/>
      <c r="B78" s="474" t="s">
        <v>3040</v>
      </c>
      <c r="C78" s="474"/>
      <c r="D78" s="474"/>
      <c r="E78" s="466" t="s">
        <v>157</v>
      </c>
      <c r="F78" s="467"/>
      <c r="G78" s="467"/>
      <c r="H78" s="468"/>
      <c r="I78" s="139"/>
      <c r="J78" s="64"/>
    </row>
    <row r="79" spans="1:11" s="61" customFormat="1" ht="12.75" customHeight="1" x14ac:dyDescent="0.2">
      <c r="A79" s="60"/>
      <c r="B79" s="474" t="s">
        <v>3041</v>
      </c>
      <c r="C79" s="474"/>
      <c r="D79" s="474"/>
      <c r="E79" s="469"/>
      <c r="F79" s="470"/>
      <c r="G79" s="470"/>
      <c r="H79" s="471"/>
      <c r="I79" s="140"/>
      <c r="J79" s="65"/>
    </row>
    <row r="80" spans="1:11" s="61" customFormat="1" ht="12.75" customHeight="1" x14ac:dyDescent="0.2">
      <c r="A80" s="60"/>
      <c r="B80" s="462" t="s">
        <v>3060</v>
      </c>
      <c r="C80" s="462"/>
      <c r="D80" s="462"/>
      <c r="E80" s="62"/>
      <c r="F80" s="62"/>
      <c r="G80" s="62"/>
      <c r="H80" s="62"/>
      <c r="I80" s="141"/>
      <c r="J80" s="5"/>
    </row>
    <row r="81" spans="1:12" hidden="1" x14ac:dyDescent="0.2">
      <c r="A81" s="59"/>
      <c r="B81" s="59"/>
      <c r="C81" s="59"/>
      <c r="D81" s="59"/>
      <c r="E81" s="59"/>
      <c r="F81" s="59"/>
      <c r="G81" s="59"/>
      <c r="H81" s="59"/>
    </row>
    <row r="82" spans="1:12" s="59" customFormat="1" hidden="1" x14ac:dyDescent="0.2">
      <c r="J82" s="23"/>
      <c r="K82" s="23"/>
      <c r="L82" s="23"/>
    </row>
    <row r="83" spans="1:12" s="59" customFormat="1" hidden="1" x14ac:dyDescent="0.2">
      <c r="J83" s="23"/>
      <c r="K83" s="23"/>
      <c r="L83" s="23"/>
    </row>
    <row r="84" spans="1:12" s="59" customFormat="1" hidden="1" x14ac:dyDescent="0.2">
      <c r="J84" s="23"/>
      <c r="K84" s="23"/>
      <c r="L84" s="23"/>
    </row>
    <row r="85" spans="1:12" s="59" customFormat="1" hidden="1" x14ac:dyDescent="0.2">
      <c r="J85" s="23"/>
      <c r="K85" s="23"/>
      <c r="L85" s="23"/>
    </row>
    <row r="86" spans="1:12" s="59" customFormat="1" hidden="1" x14ac:dyDescent="0.2">
      <c r="J86" s="23"/>
      <c r="K86" s="23"/>
      <c r="L86" s="23"/>
    </row>
    <row r="87" spans="1:12" s="59" customFormat="1" hidden="1" x14ac:dyDescent="0.2">
      <c r="J87" s="23"/>
      <c r="K87" s="23"/>
      <c r="L87" s="23"/>
    </row>
    <row r="88" spans="1:12" s="59" customFormat="1" hidden="1" x14ac:dyDescent="0.2">
      <c r="J88" s="23"/>
      <c r="K88" s="23"/>
      <c r="L88" s="23"/>
    </row>
    <row r="89" spans="1:12" s="59" customFormat="1" hidden="1" x14ac:dyDescent="0.2">
      <c r="J89" s="23"/>
      <c r="K89" s="23"/>
      <c r="L89" s="23"/>
    </row>
    <row r="90" spans="1:12" s="59" customFormat="1" hidden="1" x14ac:dyDescent="0.2">
      <c r="J90" s="23"/>
      <c r="K90" s="23"/>
      <c r="L90" s="23"/>
    </row>
    <row r="91" spans="1:12" s="59" customFormat="1" hidden="1" x14ac:dyDescent="0.2">
      <c r="J91" s="23"/>
      <c r="K91" s="23"/>
      <c r="L91" s="23"/>
    </row>
    <row r="92" spans="1:12" s="59" customFormat="1" hidden="1" x14ac:dyDescent="0.2">
      <c r="J92" s="23"/>
      <c r="K92" s="23"/>
      <c r="L92" s="23"/>
    </row>
    <row r="93" spans="1:12" s="59" customFormat="1" hidden="1" x14ac:dyDescent="0.2">
      <c r="J93" s="23"/>
      <c r="K93" s="23"/>
      <c r="L93" s="23"/>
    </row>
    <row r="94" spans="1:12" s="59" customFormat="1" hidden="1" x14ac:dyDescent="0.2">
      <c r="J94" s="23"/>
      <c r="K94" s="23"/>
      <c r="L94" s="23"/>
    </row>
    <row r="95" spans="1:12" s="59" customFormat="1" hidden="1" x14ac:dyDescent="0.2">
      <c r="J95" s="23"/>
      <c r="K95" s="23"/>
      <c r="L95" s="23"/>
    </row>
    <row r="96" spans="1:12" s="59" customFormat="1" hidden="1" x14ac:dyDescent="0.2">
      <c r="J96" s="23"/>
      <c r="K96" s="23"/>
      <c r="L96" s="23"/>
    </row>
    <row r="97" spans="10:12" s="59" customFormat="1" hidden="1" x14ac:dyDescent="0.2">
      <c r="J97" s="23"/>
      <c r="K97" s="23"/>
      <c r="L97" s="23"/>
    </row>
    <row r="98" spans="10:12" s="59" customFormat="1" hidden="1" x14ac:dyDescent="0.2">
      <c r="J98" s="23"/>
      <c r="K98" s="23"/>
      <c r="L98" s="23"/>
    </row>
    <row r="99" spans="10:12" s="59" customFormat="1" hidden="1" x14ac:dyDescent="0.2">
      <c r="J99" s="23"/>
      <c r="K99" s="23"/>
      <c r="L99" s="23"/>
    </row>
    <row r="100" spans="10:12" s="59" customFormat="1" hidden="1" x14ac:dyDescent="0.2">
      <c r="J100" s="23"/>
      <c r="K100" s="23"/>
      <c r="L100" s="23"/>
    </row>
    <row r="101" spans="10:12" s="59" customFormat="1" hidden="1" x14ac:dyDescent="0.2">
      <c r="J101" s="23"/>
      <c r="K101" s="23"/>
      <c r="L101" s="23"/>
    </row>
    <row r="102" spans="10:12" s="59" customFormat="1" hidden="1" x14ac:dyDescent="0.2">
      <c r="J102" s="23"/>
      <c r="K102" s="23"/>
      <c r="L102" s="23"/>
    </row>
    <row r="103" spans="10:12" s="59" customFormat="1" hidden="1" x14ac:dyDescent="0.2">
      <c r="J103" s="23"/>
      <c r="K103" s="23"/>
      <c r="L103" s="23"/>
    </row>
    <row r="104" spans="10:12" s="59" customFormat="1" hidden="1" x14ac:dyDescent="0.2">
      <c r="J104" s="23"/>
      <c r="K104" s="23"/>
      <c r="L104" s="23"/>
    </row>
    <row r="105" spans="10:12" s="59" customFormat="1" hidden="1" x14ac:dyDescent="0.2">
      <c r="J105" s="23"/>
      <c r="K105" s="23"/>
      <c r="L105" s="23"/>
    </row>
    <row r="106" spans="10:12" s="59" customFormat="1" hidden="1" x14ac:dyDescent="0.2">
      <c r="J106" s="23"/>
      <c r="K106" s="23"/>
      <c r="L106" s="23"/>
    </row>
    <row r="107" spans="10:12" s="59" customFormat="1" hidden="1" x14ac:dyDescent="0.2">
      <c r="J107" s="23"/>
      <c r="K107" s="23"/>
      <c r="L107" s="23"/>
    </row>
    <row r="108" spans="10:12" s="59" customFormat="1" hidden="1" x14ac:dyDescent="0.2">
      <c r="J108" s="23"/>
      <c r="K108" s="23"/>
      <c r="L108" s="23"/>
    </row>
    <row r="109" spans="10:12" s="59" customFormat="1" hidden="1" x14ac:dyDescent="0.2">
      <c r="J109" s="23"/>
      <c r="K109" s="23"/>
      <c r="L109" s="23"/>
    </row>
    <row r="110" spans="10:12" s="59" customFormat="1" hidden="1" x14ac:dyDescent="0.2">
      <c r="J110" s="23"/>
      <c r="K110" s="23"/>
      <c r="L110" s="23"/>
    </row>
    <row r="111" spans="10:12" s="59" customFormat="1" hidden="1" x14ac:dyDescent="0.2">
      <c r="J111" s="23"/>
      <c r="K111" s="23"/>
      <c r="L111" s="23"/>
    </row>
    <row r="112" spans="10:12" s="59" customFormat="1" hidden="1" x14ac:dyDescent="0.2">
      <c r="J112" s="23"/>
      <c r="K112" s="23"/>
      <c r="L112" s="23"/>
    </row>
    <row r="113" spans="10:12" s="59" customFormat="1" hidden="1" x14ac:dyDescent="0.2">
      <c r="J113" s="23"/>
      <c r="K113" s="23"/>
      <c r="L113" s="23"/>
    </row>
    <row r="114" spans="10:12" s="59" customFormat="1" hidden="1" x14ac:dyDescent="0.2">
      <c r="J114" s="23"/>
      <c r="K114" s="23"/>
      <c r="L114" s="23"/>
    </row>
    <row r="115" spans="10:12" s="59" customFormat="1" hidden="1" x14ac:dyDescent="0.2">
      <c r="J115" s="23"/>
      <c r="K115" s="23"/>
      <c r="L115" s="23"/>
    </row>
    <row r="116" spans="10:12" s="59" customFormat="1" hidden="1" x14ac:dyDescent="0.2">
      <c r="J116" s="23"/>
      <c r="K116" s="23"/>
      <c r="L116" s="23"/>
    </row>
    <row r="117" spans="10:12" s="59" customFormat="1" hidden="1" x14ac:dyDescent="0.2">
      <c r="J117" s="23"/>
      <c r="K117" s="23"/>
      <c r="L117" s="23"/>
    </row>
    <row r="118" spans="10:12" s="59" customFormat="1" hidden="1" x14ac:dyDescent="0.2">
      <c r="J118" s="23"/>
      <c r="K118" s="23"/>
      <c r="L118" s="23"/>
    </row>
    <row r="119" spans="10:12" s="59" customFormat="1" hidden="1" x14ac:dyDescent="0.2">
      <c r="J119" s="23"/>
      <c r="K119" s="23"/>
      <c r="L119" s="23"/>
    </row>
    <row r="120" spans="10:12" s="59" customFormat="1" hidden="1" x14ac:dyDescent="0.2">
      <c r="J120" s="23"/>
      <c r="K120" s="23"/>
      <c r="L120" s="23"/>
    </row>
    <row r="121" spans="10:12" s="59" customFormat="1" hidden="1" x14ac:dyDescent="0.2">
      <c r="J121" s="23"/>
      <c r="K121" s="23"/>
      <c r="L121" s="23"/>
    </row>
    <row r="122" spans="10:12" s="59" customFormat="1" hidden="1" x14ac:dyDescent="0.2">
      <c r="J122" s="23"/>
      <c r="K122" s="23"/>
      <c r="L122" s="23"/>
    </row>
    <row r="123" spans="10:12" s="59" customFormat="1" hidden="1" x14ac:dyDescent="0.2">
      <c r="J123" s="23"/>
      <c r="K123" s="23"/>
      <c r="L123" s="23"/>
    </row>
    <row r="124" spans="10:12" s="59" customFormat="1" hidden="1" x14ac:dyDescent="0.2">
      <c r="J124" s="23"/>
      <c r="K124" s="23"/>
      <c r="L124" s="23"/>
    </row>
    <row r="125" spans="10:12" s="59" customFormat="1" hidden="1" x14ac:dyDescent="0.2">
      <c r="J125" s="23"/>
      <c r="K125" s="23"/>
      <c r="L125" s="23"/>
    </row>
    <row r="126" spans="10:12" s="59" customFormat="1" hidden="1" x14ac:dyDescent="0.2">
      <c r="J126" s="23"/>
      <c r="K126" s="23"/>
      <c r="L126" s="23"/>
    </row>
    <row r="127" spans="10:12" s="59" customFormat="1" hidden="1" x14ac:dyDescent="0.2">
      <c r="J127" s="23"/>
      <c r="K127" s="23"/>
      <c r="L127" s="23"/>
    </row>
    <row r="128" spans="10:12" s="59" customFormat="1" hidden="1" x14ac:dyDescent="0.2">
      <c r="J128" s="23"/>
      <c r="K128" s="23"/>
      <c r="L128" s="23"/>
    </row>
    <row r="129" spans="10:12" s="59" customFormat="1" hidden="1" x14ac:dyDescent="0.2">
      <c r="J129" s="23"/>
      <c r="K129" s="23"/>
      <c r="L129" s="23"/>
    </row>
    <row r="130" spans="10:12" s="59" customFormat="1" hidden="1" x14ac:dyDescent="0.2">
      <c r="J130" s="23"/>
      <c r="K130" s="23"/>
      <c r="L130" s="23"/>
    </row>
    <row r="131" spans="10:12" s="59" customFormat="1" hidden="1" x14ac:dyDescent="0.2">
      <c r="J131" s="23"/>
      <c r="K131" s="23"/>
      <c r="L131" s="23"/>
    </row>
    <row r="132" spans="10:12" s="59" customFormat="1" hidden="1" x14ac:dyDescent="0.2">
      <c r="J132" s="23"/>
      <c r="K132" s="23"/>
      <c r="L132" s="23"/>
    </row>
    <row r="133" spans="10:12" s="59" customFormat="1" hidden="1" x14ac:dyDescent="0.2">
      <c r="J133" s="23"/>
      <c r="K133" s="23"/>
      <c r="L133" s="23"/>
    </row>
    <row r="134" spans="10:12" s="59" customFormat="1" hidden="1" x14ac:dyDescent="0.2">
      <c r="J134" s="23"/>
      <c r="K134" s="23"/>
      <c r="L134" s="23"/>
    </row>
    <row r="135" spans="10:12" s="59" customFormat="1" hidden="1" x14ac:dyDescent="0.2">
      <c r="J135" s="23"/>
      <c r="K135" s="23"/>
      <c r="L135" s="23"/>
    </row>
    <row r="136" spans="10:12" s="59" customFormat="1" hidden="1" x14ac:dyDescent="0.2">
      <c r="J136" s="23"/>
      <c r="K136" s="23"/>
      <c r="L136" s="23"/>
    </row>
    <row r="137" spans="10:12" s="59" customFormat="1" hidden="1" x14ac:dyDescent="0.2">
      <c r="J137" s="23"/>
      <c r="K137" s="23"/>
      <c r="L137" s="23"/>
    </row>
    <row r="138" spans="10:12" s="59" customFormat="1" hidden="1" x14ac:dyDescent="0.2">
      <c r="J138" s="23"/>
      <c r="K138" s="23"/>
      <c r="L138" s="23"/>
    </row>
    <row r="139" spans="10:12" s="59" customFormat="1" hidden="1" x14ac:dyDescent="0.2">
      <c r="J139" s="23"/>
      <c r="K139" s="23"/>
      <c r="L139" s="23"/>
    </row>
    <row r="140" spans="10:12" s="59" customFormat="1" hidden="1" x14ac:dyDescent="0.2">
      <c r="J140" s="23"/>
      <c r="K140" s="23"/>
      <c r="L140" s="23"/>
    </row>
    <row r="141" spans="10:12" s="59" customFormat="1" hidden="1" x14ac:dyDescent="0.2">
      <c r="J141" s="23"/>
      <c r="K141" s="23"/>
      <c r="L141" s="23"/>
    </row>
    <row r="142" spans="10:12" s="59" customFormat="1" hidden="1" x14ac:dyDescent="0.2">
      <c r="J142" s="23"/>
      <c r="K142" s="23"/>
      <c r="L142" s="23"/>
    </row>
    <row r="143" spans="10:12" s="59" customFormat="1" hidden="1" x14ac:dyDescent="0.2">
      <c r="J143" s="23"/>
      <c r="K143" s="23"/>
      <c r="L143" s="23"/>
    </row>
    <row r="144" spans="10:12" s="59" customFormat="1" hidden="1" x14ac:dyDescent="0.2">
      <c r="J144" s="23"/>
      <c r="K144" s="23"/>
      <c r="L144" s="23"/>
    </row>
    <row r="145" spans="10:12" s="59" customFormat="1" hidden="1" x14ac:dyDescent="0.2">
      <c r="J145" s="23"/>
      <c r="K145" s="23"/>
      <c r="L145" s="23"/>
    </row>
    <row r="146" spans="10:12" s="59" customFormat="1" hidden="1" x14ac:dyDescent="0.2">
      <c r="J146" s="23"/>
      <c r="K146" s="23"/>
      <c r="L146" s="23"/>
    </row>
    <row r="147" spans="10:12" s="59" customFormat="1" hidden="1" x14ac:dyDescent="0.2">
      <c r="J147" s="23"/>
      <c r="K147" s="23"/>
      <c r="L147" s="23"/>
    </row>
    <row r="148" spans="10:12" s="59" customFormat="1" hidden="1" x14ac:dyDescent="0.2">
      <c r="J148" s="23"/>
      <c r="K148" s="23"/>
      <c r="L148" s="23"/>
    </row>
    <row r="149" spans="10:12" s="59" customFormat="1" hidden="1" x14ac:dyDescent="0.2">
      <c r="J149" s="23"/>
      <c r="K149" s="23"/>
      <c r="L149" s="23"/>
    </row>
    <row r="150" spans="10:12" s="59" customFormat="1" hidden="1" x14ac:dyDescent="0.2">
      <c r="J150" s="23"/>
      <c r="K150" s="23"/>
      <c r="L150" s="23"/>
    </row>
    <row r="151" spans="10:12" s="59" customFormat="1" hidden="1" x14ac:dyDescent="0.2">
      <c r="J151" s="23"/>
      <c r="K151" s="23"/>
      <c r="L151" s="23"/>
    </row>
    <row r="152" spans="10:12" s="59" customFormat="1" hidden="1" x14ac:dyDescent="0.2">
      <c r="J152" s="23"/>
      <c r="K152" s="23"/>
      <c r="L152" s="23"/>
    </row>
    <row r="153" spans="10:12" s="59" customFormat="1" hidden="1" x14ac:dyDescent="0.2">
      <c r="J153" s="23"/>
      <c r="K153" s="23"/>
      <c r="L153" s="23"/>
    </row>
    <row r="154" spans="10:12" s="59" customFormat="1" hidden="1" x14ac:dyDescent="0.2">
      <c r="J154" s="23"/>
      <c r="K154" s="23"/>
      <c r="L154" s="23"/>
    </row>
    <row r="155" spans="10:12" s="59" customFormat="1" hidden="1" x14ac:dyDescent="0.2">
      <c r="J155" s="23"/>
      <c r="K155" s="23"/>
      <c r="L155" s="23"/>
    </row>
    <row r="156" spans="10:12" s="59" customFormat="1" hidden="1" x14ac:dyDescent="0.2">
      <c r="J156" s="23"/>
      <c r="K156" s="23"/>
      <c r="L156" s="23"/>
    </row>
    <row r="157" spans="10:12" s="59" customFormat="1" hidden="1" x14ac:dyDescent="0.2">
      <c r="J157" s="23"/>
      <c r="K157" s="23"/>
      <c r="L157" s="23"/>
    </row>
    <row r="158" spans="10:12" s="59" customFormat="1" hidden="1" x14ac:dyDescent="0.2">
      <c r="J158" s="23"/>
      <c r="K158" s="23"/>
      <c r="L158" s="23"/>
    </row>
    <row r="159" spans="10:12" s="59" customFormat="1" hidden="1" x14ac:dyDescent="0.2">
      <c r="J159" s="23"/>
      <c r="K159" s="23"/>
      <c r="L159" s="23"/>
    </row>
    <row r="160" spans="10:12" s="59" customFormat="1" hidden="1" x14ac:dyDescent="0.2">
      <c r="J160" s="23"/>
      <c r="K160" s="23"/>
      <c r="L160" s="23"/>
    </row>
    <row r="161" spans="10:12" s="59" customFormat="1" hidden="1" x14ac:dyDescent="0.2">
      <c r="J161" s="23"/>
      <c r="K161" s="23"/>
      <c r="L161" s="23"/>
    </row>
    <row r="162" spans="10:12" s="59" customFormat="1" hidden="1" x14ac:dyDescent="0.2">
      <c r="J162" s="23"/>
      <c r="K162" s="23"/>
      <c r="L162" s="23"/>
    </row>
    <row r="163" spans="10:12" s="59" customFormat="1" hidden="1" x14ac:dyDescent="0.2">
      <c r="J163" s="23"/>
      <c r="K163" s="23"/>
      <c r="L163" s="23"/>
    </row>
    <row r="164" spans="10:12" s="59" customFormat="1" hidden="1" x14ac:dyDescent="0.2">
      <c r="J164" s="23"/>
      <c r="K164" s="23"/>
      <c r="L164" s="23"/>
    </row>
    <row r="165" spans="10:12" s="59" customFormat="1" hidden="1" x14ac:dyDescent="0.2">
      <c r="J165" s="23"/>
      <c r="K165" s="23"/>
      <c r="L165" s="23"/>
    </row>
    <row r="166" spans="10:12" s="59" customFormat="1" hidden="1" x14ac:dyDescent="0.2">
      <c r="J166" s="23"/>
      <c r="K166" s="23"/>
      <c r="L166" s="23"/>
    </row>
    <row r="167" spans="10:12" s="59" customFormat="1" hidden="1" x14ac:dyDescent="0.2">
      <c r="J167" s="23"/>
      <c r="K167" s="23"/>
      <c r="L167" s="23"/>
    </row>
    <row r="168" spans="10:12" s="59" customFormat="1" hidden="1" x14ac:dyDescent="0.2">
      <c r="J168" s="23"/>
      <c r="K168" s="23"/>
      <c r="L168" s="23"/>
    </row>
    <row r="169" spans="10:12" s="59" customFormat="1" hidden="1" x14ac:dyDescent="0.2">
      <c r="J169" s="23"/>
      <c r="K169" s="23"/>
      <c r="L169" s="23"/>
    </row>
    <row r="170" spans="10:12" s="59" customFormat="1" hidden="1" x14ac:dyDescent="0.2">
      <c r="J170" s="23"/>
      <c r="K170" s="23"/>
      <c r="L170" s="23"/>
    </row>
    <row r="171" spans="10:12" s="59" customFormat="1" hidden="1" x14ac:dyDescent="0.2">
      <c r="J171" s="23"/>
      <c r="K171" s="23"/>
      <c r="L171" s="23"/>
    </row>
    <row r="172" spans="10:12" s="59" customFormat="1" hidden="1" x14ac:dyDescent="0.2">
      <c r="J172" s="23"/>
      <c r="K172" s="23"/>
      <c r="L172" s="23"/>
    </row>
    <row r="173" spans="10:12" s="59" customFormat="1" hidden="1" x14ac:dyDescent="0.2">
      <c r="J173" s="23"/>
      <c r="K173" s="23"/>
      <c r="L173" s="23"/>
    </row>
    <row r="174" spans="10:12" s="59" customFormat="1" hidden="1" x14ac:dyDescent="0.2">
      <c r="J174" s="23"/>
      <c r="K174" s="23"/>
      <c r="L174" s="23"/>
    </row>
    <row r="175" spans="10:12" s="59" customFormat="1" hidden="1" x14ac:dyDescent="0.2">
      <c r="J175" s="23"/>
      <c r="K175" s="23"/>
      <c r="L175" s="23"/>
    </row>
    <row r="176" spans="10:12" s="59" customFormat="1" hidden="1" x14ac:dyDescent="0.2">
      <c r="J176" s="23"/>
      <c r="K176" s="23"/>
      <c r="L176" s="23"/>
    </row>
    <row r="177" spans="10:12" s="59" customFormat="1" hidden="1" x14ac:dyDescent="0.2">
      <c r="J177" s="23"/>
      <c r="K177" s="23"/>
      <c r="L177" s="23"/>
    </row>
    <row r="178" spans="10:12" s="59" customFormat="1" hidden="1" x14ac:dyDescent="0.2">
      <c r="J178" s="23"/>
      <c r="K178" s="23"/>
      <c r="L178" s="23"/>
    </row>
    <row r="179" spans="10:12" s="59" customFormat="1" hidden="1" x14ac:dyDescent="0.2">
      <c r="J179" s="23"/>
      <c r="K179" s="23"/>
      <c r="L179" s="23"/>
    </row>
    <row r="180" spans="10:12" s="59" customFormat="1" hidden="1" x14ac:dyDescent="0.2">
      <c r="J180" s="23"/>
      <c r="K180" s="23"/>
      <c r="L180" s="23"/>
    </row>
    <row r="181" spans="10:12" s="59" customFormat="1" hidden="1" x14ac:dyDescent="0.2">
      <c r="J181" s="23"/>
      <c r="K181" s="23"/>
      <c r="L181" s="23"/>
    </row>
    <row r="182" spans="10:12" s="59" customFormat="1" hidden="1" x14ac:dyDescent="0.2">
      <c r="J182" s="23"/>
      <c r="K182" s="23"/>
      <c r="L182" s="23"/>
    </row>
    <row r="183" spans="10:12" s="59" customFormat="1" hidden="1" x14ac:dyDescent="0.2">
      <c r="J183" s="23"/>
      <c r="K183" s="23"/>
      <c r="L183" s="23"/>
    </row>
    <row r="184" spans="10:12" s="59" customFormat="1" hidden="1" x14ac:dyDescent="0.2">
      <c r="J184" s="23"/>
      <c r="K184" s="23"/>
      <c r="L184" s="23"/>
    </row>
    <row r="185" spans="10:12" s="59" customFormat="1" hidden="1" x14ac:dyDescent="0.2">
      <c r="J185" s="23"/>
      <c r="K185" s="23"/>
      <c r="L185" s="23"/>
    </row>
    <row r="186" spans="10:12" s="59" customFormat="1" hidden="1" x14ac:dyDescent="0.2">
      <c r="J186" s="23"/>
      <c r="K186" s="23"/>
      <c r="L186" s="23"/>
    </row>
    <row r="187" spans="10:12" s="59" customFormat="1" hidden="1" x14ac:dyDescent="0.2">
      <c r="J187" s="23"/>
      <c r="K187" s="23"/>
      <c r="L187" s="23"/>
    </row>
    <row r="188" spans="10:12" s="59" customFormat="1" hidden="1" x14ac:dyDescent="0.2">
      <c r="J188" s="23"/>
      <c r="K188" s="23"/>
      <c r="L188" s="23"/>
    </row>
    <row r="189" spans="10:12" s="59" customFormat="1" hidden="1" x14ac:dyDescent="0.2">
      <c r="J189" s="23"/>
      <c r="K189" s="23"/>
      <c r="L189" s="23"/>
    </row>
    <row r="190" spans="10:12" s="59" customFormat="1" hidden="1" x14ac:dyDescent="0.2">
      <c r="J190" s="23"/>
      <c r="K190" s="23"/>
      <c r="L190" s="23"/>
    </row>
    <row r="191" spans="10:12" s="59" customFormat="1" hidden="1" x14ac:dyDescent="0.2">
      <c r="J191" s="23"/>
      <c r="K191" s="23"/>
      <c r="L191" s="23"/>
    </row>
    <row r="192" spans="10:12" s="59" customFormat="1" hidden="1" x14ac:dyDescent="0.2">
      <c r="J192" s="23"/>
      <c r="K192" s="23"/>
      <c r="L192" s="23"/>
    </row>
    <row r="193" spans="10:12" s="59" customFormat="1" hidden="1" x14ac:dyDescent="0.2">
      <c r="J193" s="23"/>
      <c r="K193" s="23"/>
      <c r="L193" s="23"/>
    </row>
    <row r="194" spans="10:12" s="59" customFormat="1" hidden="1" x14ac:dyDescent="0.2">
      <c r="J194" s="23"/>
      <c r="K194" s="23"/>
      <c r="L194" s="23"/>
    </row>
    <row r="195" spans="10:12" s="59" customFormat="1" hidden="1" x14ac:dyDescent="0.2">
      <c r="J195" s="23"/>
      <c r="K195" s="23"/>
      <c r="L195" s="23"/>
    </row>
    <row r="196" spans="10:12" s="59" customFormat="1" hidden="1" x14ac:dyDescent="0.2">
      <c r="J196" s="23"/>
      <c r="K196" s="23"/>
      <c r="L196" s="23"/>
    </row>
    <row r="197" spans="10:12" s="59" customFormat="1" hidden="1" x14ac:dyDescent="0.2">
      <c r="J197" s="23"/>
      <c r="K197" s="23"/>
      <c r="L197" s="23"/>
    </row>
    <row r="198" spans="10:12" s="59" customFormat="1" hidden="1" x14ac:dyDescent="0.2">
      <c r="J198" s="23"/>
      <c r="K198" s="23"/>
      <c r="L198" s="23"/>
    </row>
    <row r="199" spans="10:12" s="59" customFormat="1" hidden="1" x14ac:dyDescent="0.2">
      <c r="J199" s="23"/>
      <c r="K199" s="23"/>
      <c r="L199" s="23"/>
    </row>
    <row r="200" spans="10:12" s="59" customFormat="1" hidden="1" x14ac:dyDescent="0.2">
      <c r="J200" s="23"/>
      <c r="K200" s="23"/>
      <c r="L200" s="23"/>
    </row>
    <row r="201" spans="10:12" s="59" customFormat="1" hidden="1" x14ac:dyDescent="0.2">
      <c r="J201" s="23"/>
      <c r="K201" s="23"/>
      <c r="L201" s="23"/>
    </row>
    <row r="202" spans="10:12" s="59" customFormat="1" hidden="1" x14ac:dyDescent="0.2">
      <c r="J202" s="23"/>
      <c r="K202" s="23"/>
      <c r="L202" s="23"/>
    </row>
    <row r="203" spans="10:12" s="59" customFormat="1" hidden="1" x14ac:dyDescent="0.2">
      <c r="J203" s="23"/>
      <c r="K203" s="23"/>
      <c r="L203" s="23"/>
    </row>
    <row r="204" spans="10:12" s="59" customFormat="1" hidden="1" x14ac:dyDescent="0.2">
      <c r="J204" s="23"/>
      <c r="K204" s="23"/>
      <c r="L204" s="23"/>
    </row>
    <row r="205" spans="10:12" s="59" customFormat="1" hidden="1" x14ac:dyDescent="0.2">
      <c r="J205" s="23"/>
      <c r="K205" s="23"/>
      <c r="L205" s="23"/>
    </row>
    <row r="206" spans="10:12" s="59" customFormat="1" hidden="1" x14ac:dyDescent="0.2">
      <c r="J206" s="23"/>
      <c r="K206" s="23"/>
      <c r="L206" s="23"/>
    </row>
    <row r="207" spans="10:12" s="59" customFormat="1" hidden="1" x14ac:dyDescent="0.2">
      <c r="J207" s="23"/>
      <c r="K207" s="23"/>
      <c r="L207" s="23"/>
    </row>
    <row r="208" spans="10:12" s="59" customFormat="1" hidden="1" x14ac:dyDescent="0.2">
      <c r="J208" s="23"/>
      <c r="K208" s="23"/>
      <c r="L208" s="23"/>
    </row>
    <row r="209" spans="10:12" s="59" customFormat="1" hidden="1" x14ac:dyDescent="0.2">
      <c r="J209" s="23"/>
      <c r="K209" s="23"/>
      <c r="L209" s="23"/>
    </row>
    <row r="210" spans="10:12" s="59" customFormat="1" hidden="1" x14ac:dyDescent="0.2">
      <c r="J210" s="23"/>
      <c r="K210" s="23"/>
      <c r="L210" s="23"/>
    </row>
    <row r="211" spans="10:12" s="59" customFormat="1" hidden="1" x14ac:dyDescent="0.2">
      <c r="J211" s="23"/>
      <c r="K211" s="23"/>
      <c r="L211" s="23"/>
    </row>
    <row r="212" spans="10:12" s="59" customFormat="1" hidden="1" x14ac:dyDescent="0.2">
      <c r="J212" s="23"/>
      <c r="K212" s="23"/>
      <c r="L212" s="23"/>
    </row>
    <row r="213" spans="10:12" s="59" customFormat="1" hidden="1" x14ac:dyDescent="0.2">
      <c r="J213" s="23"/>
      <c r="K213" s="23"/>
      <c r="L213" s="23"/>
    </row>
    <row r="214" spans="10:12" s="59" customFormat="1" hidden="1" x14ac:dyDescent="0.2">
      <c r="J214" s="23"/>
      <c r="K214" s="23"/>
      <c r="L214" s="23"/>
    </row>
    <row r="215" spans="10:12" s="59" customFormat="1" hidden="1" x14ac:dyDescent="0.2">
      <c r="J215" s="23"/>
      <c r="K215" s="23"/>
      <c r="L215" s="23"/>
    </row>
    <row r="216" spans="10:12" s="59" customFormat="1" hidden="1" x14ac:dyDescent="0.2">
      <c r="J216" s="23"/>
      <c r="K216" s="23"/>
      <c r="L216" s="23"/>
    </row>
    <row r="217" spans="10:12" s="59" customFormat="1" hidden="1" x14ac:dyDescent="0.2">
      <c r="J217" s="23"/>
      <c r="K217" s="23"/>
      <c r="L217" s="23"/>
    </row>
    <row r="218" spans="10:12" s="59" customFormat="1" hidden="1" x14ac:dyDescent="0.2">
      <c r="J218" s="23"/>
      <c r="K218" s="23"/>
      <c r="L218" s="23"/>
    </row>
    <row r="219" spans="10:12" s="59" customFormat="1" hidden="1" x14ac:dyDescent="0.2">
      <c r="J219" s="23"/>
      <c r="K219" s="23"/>
      <c r="L219" s="23"/>
    </row>
    <row r="220" spans="10:12" s="59" customFormat="1" hidden="1" x14ac:dyDescent="0.2">
      <c r="J220" s="23"/>
      <c r="K220" s="23"/>
      <c r="L220" s="23"/>
    </row>
    <row r="221" spans="10:12" s="59" customFormat="1" hidden="1" x14ac:dyDescent="0.2">
      <c r="J221" s="23"/>
      <c r="K221" s="23"/>
      <c r="L221" s="23"/>
    </row>
    <row r="222" spans="10:12" s="59" customFormat="1" hidden="1" x14ac:dyDescent="0.2">
      <c r="J222" s="23"/>
      <c r="K222" s="23"/>
      <c r="L222" s="23"/>
    </row>
    <row r="223" spans="10:12" s="59" customFormat="1" hidden="1" x14ac:dyDescent="0.2">
      <c r="J223" s="23"/>
      <c r="K223" s="23"/>
      <c r="L223" s="23"/>
    </row>
    <row r="224" spans="10:12" s="59" customFormat="1" hidden="1" x14ac:dyDescent="0.2">
      <c r="J224" s="23"/>
      <c r="K224" s="23"/>
      <c r="L224" s="23"/>
    </row>
    <row r="225" spans="10:12" s="59" customFormat="1" hidden="1" x14ac:dyDescent="0.2">
      <c r="J225" s="23"/>
      <c r="K225" s="23"/>
      <c r="L225" s="23"/>
    </row>
    <row r="226" spans="10:12" s="59" customFormat="1" hidden="1" x14ac:dyDescent="0.2">
      <c r="J226" s="23"/>
      <c r="K226" s="23"/>
      <c r="L226" s="23"/>
    </row>
    <row r="227" spans="10:12" s="59" customFormat="1" hidden="1" x14ac:dyDescent="0.2">
      <c r="J227" s="23"/>
      <c r="K227" s="23"/>
      <c r="L227" s="23"/>
    </row>
    <row r="228" spans="10:12" s="59" customFormat="1" hidden="1" x14ac:dyDescent="0.2">
      <c r="J228" s="23"/>
      <c r="K228" s="23"/>
      <c r="L228" s="23"/>
    </row>
    <row r="229" spans="10:12" s="59" customFormat="1" hidden="1" x14ac:dyDescent="0.2">
      <c r="J229" s="23"/>
      <c r="K229" s="23"/>
      <c r="L229" s="23"/>
    </row>
    <row r="230" spans="10:12" s="59" customFormat="1" hidden="1" x14ac:dyDescent="0.2">
      <c r="J230" s="23"/>
      <c r="K230" s="23"/>
      <c r="L230" s="23"/>
    </row>
    <row r="231" spans="10:12" s="59" customFormat="1" hidden="1" x14ac:dyDescent="0.2">
      <c r="J231" s="23"/>
      <c r="K231" s="23"/>
      <c r="L231" s="23"/>
    </row>
    <row r="232" spans="10:12" s="59" customFormat="1" hidden="1" x14ac:dyDescent="0.2">
      <c r="J232" s="23"/>
      <c r="K232" s="23"/>
      <c r="L232" s="23"/>
    </row>
    <row r="233" spans="10:12" s="59" customFormat="1" hidden="1" x14ac:dyDescent="0.2">
      <c r="J233" s="23"/>
      <c r="K233" s="23"/>
      <c r="L233" s="23"/>
    </row>
    <row r="234" spans="10:12" s="59" customFormat="1" hidden="1" x14ac:dyDescent="0.2">
      <c r="J234" s="23"/>
      <c r="K234" s="23"/>
      <c r="L234" s="23"/>
    </row>
    <row r="235" spans="10:12" s="59" customFormat="1" hidden="1" x14ac:dyDescent="0.2">
      <c r="J235" s="23"/>
      <c r="K235" s="23"/>
      <c r="L235" s="23"/>
    </row>
    <row r="236" spans="10:12" s="59" customFormat="1" hidden="1" x14ac:dyDescent="0.2">
      <c r="J236" s="23"/>
      <c r="K236" s="23"/>
      <c r="L236" s="23"/>
    </row>
    <row r="237" spans="10:12" s="59" customFormat="1" hidden="1" x14ac:dyDescent="0.2">
      <c r="J237" s="23"/>
      <c r="K237" s="23"/>
      <c r="L237" s="23"/>
    </row>
    <row r="238" spans="10:12" s="59" customFormat="1" hidden="1" x14ac:dyDescent="0.2">
      <c r="J238" s="23"/>
      <c r="K238" s="23"/>
      <c r="L238" s="23"/>
    </row>
    <row r="239" spans="10:12" s="59" customFormat="1" hidden="1" x14ac:dyDescent="0.2">
      <c r="J239" s="23"/>
      <c r="K239" s="23"/>
      <c r="L239" s="23"/>
    </row>
    <row r="240" spans="10:12" s="59" customFormat="1" hidden="1" x14ac:dyDescent="0.2">
      <c r="J240" s="23"/>
      <c r="K240" s="23"/>
      <c r="L240" s="23"/>
    </row>
  </sheetData>
  <mergeCells count="40">
    <mergeCell ref="B26:H27"/>
    <mergeCell ref="C62:D62"/>
    <mergeCell ref="C63:D63"/>
    <mergeCell ref="C64:D64"/>
    <mergeCell ref="B60:H60"/>
    <mergeCell ref="C61:D61"/>
    <mergeCell ref="B43:D43"/>
    <mergeCell ref="B44:D44"/>
    <mergeCell ref="B45:D45"/>
    <mergeCell ref="B46:D46"/>
    <mergeCell ref="B52:H53"/>
    <mergeCell ref="E44:H45"/>
    <mergeCell ref="B56:H56"/>
    <mergeCell ref="C57:D57"/>
    <mergeCell ref="C9:D9"/>
    <mergeCell ref="G9:H9"/>
    <mergeCell ref="C10:D10"/>
    <mergeCell ref="G10:H10"/>
    <mergeCell ref="B11:H12"/>
    <mergeCell ref="B6:D6"/>
    <mergeCell ref="F6:H6"/>
    <mergeCell ref="B7:D7"/>
    <mergeCell ref="F7:H7"/>
    <mergeCell ref="C8:D8"/>
    <mergeCell ref="G8:H8"/>
    <mergeCell ref="B80:D80"/>
    <mergeCell ref="C55:D55"/>
    <mergeCell ref="C72:H72"/>
    <mergeCell ref="B70:I71"/>
    <mergeCell ref="E78:H79"/>
    <mergeCell ref="C75:H75"/>
    <mergeCell ref="B65:H65"/>
    <mergeCell ref="C74:H74"/>
    <mergeCell ref="B77:D77"/>
    <mergeCell ref="B78:D78"/>
    <mergeCell ref="B79:D79"/>
    <mergeCell ref="C59:D59"/>
    <mergeCell ref="C58:D58"/>
    <mergeCell ref="C66:D66"/>
    <mergeCell ref="C73:H73"/>
  </mergeCells>
  <hyperlinks>
    <hyperlink ref="B46" r:id="rId1" display="juan.zambrano@wavin.com" xr:uid="{43FEF781-4B39-4139-8767-5764A0D5C8F7}"/>
    <hyperlink ref="B80" r:id="rId2" display="juan.zambrano@wavin.com" xr:uid="{175DB753-B4AA-4CD5-91BF-C5F388E06025}"/>
  </hyperlinks>
  <pageMargins left="0.25" right="0.25" top="0.75" bottom="0.75" header="0.3" footer="0.3"/>
  <pageSetup scale="89" fitToHeight="0" orientation="portrait" r:id="rId3"/>
  <rowBreaks count="1" manualBreakCount="1">
    <brk id="46" max="8"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E4E4D-4065-4EE5-A2B8-074C4A7667B1}">
  <sheetPr codeName="Hoja6">
    <pageSetUpPr fitToPage="1"/>
  </sheetPr>
  <dimension ref="A1:BX247"/>
  <sheetViews>
    <sheetView showRowColHeaders="0" view="pageBreakPreview" zoomScale="90" zoomScaleNormal="100" zoomScaleSheetLayoutView="90" workbookViewId="0">
      <selection activeCell="J1" sqref="J1"/>
    </sheetView>
  </sheetViews>
  <sheetFormatPr baseColWidth="10" defaultColWidth="0" defaultRowHeight="12" customHeight="1" zeroHeight="1" x14ac:dyDescent="0.2"/>
  <cols>
    <col min="1" max="1" width="2.28515625" style="23" customWidth="1"/>
    <col min="2" max="2" width="10.7109375" style="23" customWidth="1"/>
    <col min="3" max="3" width="11.7109375" style="23" customWidth="1"/>
    <col min="4" max="4" width="31.5703125" style="23" customWidth="1"/>
    <col min="5" max="5" width="13.28515625" style="23" customWidth="1"/>
    <col min="6" max="6" width="9.5703125" style="23" customWidth="1"/>
    <col min="7" max="7" width="15.140625" style="23" customWidth="1"/>
    <col min="8" max="8" width="16.7109375" style="23" bestFit="1" customWidth="1"/>
    <col min="9" max="9" width="2.28515625" style="59" customWidth="1"/>
    <col min="10" max="10" width="6.7109375" style="23" customWidth="1"/>
    <col min="11" max="11" width="14.140625" style="23" customWidth="1"/>
    <col min="12" max="12" width="11.42578125" style="23" customWidth="1"/>
    <col min="13" max="15" width="11.42578125" style="23" hidden="1" customWidth="1"/>
    <col min="16" max="76" width="0" style="23" hidden="1" customWidth="1"/>
    <col min="77" max="16384" width="11.42578125" style="23" hidden="1"/>
  </cols>
  <sheetData>
    <row r="1" spans="1:76" ht="15" customHeight="1" x14ac:dyDescent="0.2">
      <c r="A1" s="19"/>
      <c r="B1" s="20"/>
      <c r="C1" s="20"/>
      <c r="D1" s="20"/>
      <c r="E1" s="20"/>
      <c r="F1" s="21"/>
      <c r="G1" s="21"/>
      <c r="H1" s="22" t="s">
        <v>146</v>
      </c>
      <c r="J1" s="24"/>
      <c r="BX1" s="23">
        <v>2</v>
      </c>
    </row>
    <row r="2" spans="1:76" ht="15" customHeight="1" x14ac:dyDescent="0.2">
      <c r="A2" s="19"/>
      <c r="B2" s="25"/>
      <c r="C2" s="20"/>
      <c r="D2" s="20"/>
      <c r="E2" s="20"/>
      <c r="F2" s="26"/>
      <c r="G2" s="26"/>
      <c r="H2" s="26"/>
      <c r="I2" s="26"/>
      <c r="J2" s="27"/>
    </row>
    <row r="3" spans="1:76" ht="15" customHeight="1" x14ac:dyDescent="0.2">
      <c r="A3" s="19"/>
      <c r="B3" s="28"/>
      <c r="C3" s="20"/>
      <c r="D3" s="20"/>
      <c r="E3" s="20"/>
      <c r="F3" s="29"/>
      <c r="G3" s="29"/>
      <c r="H3" s="29"/>
      <c r="I3" s="29"/>
      <c r="J3" s="30"/>
    </row>
    <row r="4" spans="1:76" ht="15" customHeight="1" x14ac:dyDescent="0.2">
      <c r="A4" s="19"/>
      <c r="B4" s="28"/>
      <c r="C4" s="20"/>
      <c r="D4" s="20"/>
      <c r="E4" s="20"/>
      <c r="F4" s="31"/>
      <c r="G4" s="31"/>
      <c r="H4" s="31"/>
      <c r="I4" s="31"/>
      <c r="J4" s="32"/>
    </row>
    <row r="5" spans="1:76" ht="15" customHeight="1" x14ac:dyDescent="0.2">
      <c r="A5" s="19"/>
      <c r="B5" s="28"/>
      <c r="C5" s="20"/>
      <c r="D5" s="20"/>
      <c r="E5" s="20"/>
      <c r="F5" s="31"/>
      <c r="G5" s="31"/>
      <c r="H5" s="31"/>
      <c r="I5" s="31"/>
      <c r="J5" s="32"/>
    </row>
    <row r="6" spans="1:76" x14ac:dyDescent="0.2">
      <c r="A6" s="19"/>
      <c r="B6" s="472" t="s">
        <v>147</v>
      </c>
      <c r="C6" s="472"/>
      <c r="D6" s="472"/>
      <c r="E6" s="113"/>
      <c r="F6" s="472"/>
      <c r="G6" s="472"/>
      <c r="H6" s="472"/>
      <c r="I6" s="75"/>
      <c r="J6" s="34"/>
    </row>
    <row r="7" spans="1:76" ht="12" customHeight="1" x14ac:dyDescent="0.2">
      <c r="A7" s="19"/>
      <c r="B7" s="476" t="s">
        <v>148</v>
      </c>
      <c r="C7" s="476"/>
      <c r="D7" s="476"/>
      <c r="E7" s="25"/>
      <c r="F7" s="477"/>
      <c r="G7" s="477"/>
      <c r="H7" s="477"/>
      <c r="I7" s="26"/>
      <c r="J7" s="27"/>
    </row>
    <row r="8" spans="1:76" ht="12" customHeight="1" x14ac:dyDescent="0.2">
      <c r="A8" s="19"/>
      <c r="B8" s="115" t="s">
        <v>149</v>
      </c>
      <c r="C8" s="478">
        <f ca="1">TODAY()</f>
        <v>45271</v>
      </c>
      <c r="D8" s="478"/>
      <c r="E8" s="111"/>
      <c r="F8" s="114" t="s">
        <v>150</v>
      </c>
      <c r="G8" s="479"/>
      <c r="H8" s="479"/>
      <c r="I8" s="20"/>
      <c r="J8" s="37"/>
    </row>
    <row r="9" spans="1:76" ht="12" customHeight="1" x14ac:dyDescent="0.2">
      <c r="A9" s="19"/>
      <c r="B9" s="115" t="s">
        <v>151</v>
      </c>
      <c r="C9" s="479" t="str">
        <f>IF(AQ_DDP="","",AQ_DDP)</f>
        <v/>
      </c>
      <c r="D9" s="479"/>
      <c r="E9" s="36"/>
      <c r="F9" s="114" t="s">
        <v>152</v>
      </c>
      <c r="G9" s="479" t="str">
        <f>IF(AQ_CEDP="","",AQ_CEDP)</f>
        <v/>
      </c>
      <c r="H9" s="479"/>
      <c r="I9" s="137"/>
      <c r="J9" s="38"/>
    </row>
    <row r="10" spans="1:76" ht="12" customHeight="1" x14ac:dyDescent="0.2">
      <c r="A10" s="19"/>
      <c r="B10" s="115" t="s">
        <v>153</v>
      </c>
      <c r="C10" s="479" t="str">
        <f>IF(AQ_NDP="","",AQ_NDP)</f>
        <v/>
      </c>
      <c r="D10" s="479"/>
      <c r="E10" s="36"/>
      <c r="F10" s="114" t="s">
        <v>154</v>
      </c>
      <c r="G10" s="479" t="str">
        <f>IF(AQ_UDP="","",AQ_UDP)</f>
        <v/>
      </c>
      <c r="H10" s="479"/>
      <c r="J10" s="39"/>
    </row>
    <row r="11" spans="1:76" ht="10.5" customHeight="1" x14ac:dyDescent="0.2">
      <c r="A11" s="19"/>
      <c r="B11" s="465" t="s">
        <v>155</v>
      </c>
      <c r="C11" s="465"/>
      <c r="D11" s="465"/>
      <c r="E11" s="465"/>
      <c r="F11" s="465"/>
      <c r="G11" s="465"/>
      <c r="H11" s="465"/>
      <c r="I11" s="75"/>
      <c r="J11" s="34"/>
    </row>
    <row r="12" spans="1:76" ht="10.5" customHeight="1" x14ac:dyDescent="0.2">
      <c r="A12" s="19"/>
      <c r="B12" s="465"/>
      <c r="C12" s="465"/>
      <c r="D12" s="465"/>
      <c r="E12" s="465"/>
      <c r="F12" s="465"/>
      <c r="G12" s="465"/>
      <c r="H12" s="465"/>
      <c r="I12" s="75"/>
      <c r="J12" s="34"/>
    </row>
    <row r="13" spans="1:76" ht="12" customHeight="1" x14ac:dyDescent="0.2">
      <c r="A13" s="19"/>
      <c r="B13" s="40"/>
      <c r="C13" s="40"/>
      <c r="D13" s="40"/>
      <c r="E13" s="40"/>
      <c r="F13" s="41"/>
      <c r="G13" s="127" t="s">
        <v>127</v>
      </c>
      <c r="H13" s="127" t="s">
        <v>128</v>
      </c>
      <c r="J13" s="42"/>
    </row>
    <row r="14" spans="1:76" ht="12" customHeight="1" x14ac:dyDescent="0.2">
      <c r="A14" s="19"/>
      <c r="B14" s="25" t="s">
        <v>129</v>
      </c>
      <c r="C14" s="35"/>
      <c r="D14" s="35"/>
      <c r="E14" s="35"/>
      <c r="F14" s="35"/>
      <c r="G14" s="43" t="str">
        <f>+'DESPIECE DE MATERIAL'!M23</f>
        <v/>
      </c>
      <c r="H14" s="44" t="s">
        <v>130</v>
      </c>
      <c r="J14" s="45"/>
    </row>
    <row r="15" spans="1:76" ht="12" customHeight="1" x14ac:dyDescent="0.2">
      <c r="A15" s="19"/>
      <c r="B15" s="25" t="s">
        <v>131</v>
      </c>
      <c r="C15" s="35"/>
      <c r="D15" s="35"/>
      <c r="E15" s="35"/>
      <c r="F15" s="35"/>
      <c r="G15" s="43">
        <f>+'DESPIECE DE MATERIAL'!M24</f>
        <v>0</v>
      </c>
      <c r="H15" s="44" t="s">
        <v>132</v>
      </c>
      <c r="J15" s="45"/>
    </row>
    <row r="16" spans="1:76" ht="12" customHeight="1" x14ac:dyDescent="0.2">
      <c r="A16" s="19"/>
      <c r="B16" s="25" t="s">
        <v>133</v>
      </c>
      <c r="C16" s="35"/>
      <c r="D16" s="35"/>
      <c r="E16" s="35"/>
      <c r="F16" s="35"/>
      <c r="G16" s="43">
        <f>+'DESPIECE DE MATERIAL'!M25</f>
        <v>0</v>
      </c>
      <c r="H16" s="44" t="s">
        <v>132</v>
      </c>
      <c r="J16" s="45"/>
    </row>
    <row r="17" spans="1:10" ht="12" customHeight="1" x14ac:dyDescent="0.2">
      <c r="A17" s="19"/>
      <c r="B17" s="25" t="s">
        <v>134</v>
      </c>
      <c r="C17" s="35"/>
      <c r="D17" s="25"/>
      <c r="E17" s="35"/>
      <c r="F17" s="35"/>
      <c r="G17" s="43" t="str">
        <f>+'DESPIECE DE MATERIAL'!M26</f>
        <v/>
      </c>
      <c r="H17" s="44" t="s">
        <v>132</v>
      </c>
      <c r="J17" s="45"/>
    </row>
    <row r="18" spans="1:10" ht="12" customHeight="1" x14ac:dyDescent="0.2">
      <c r="A18" s="19"/>
      <c r="B18" s="25" t="s">
        <v>135</v>
      </c>
      <c r="C18" s="35"/>
      <c r="D18" s="35"/>
      <c r="E18" s="35"/>
      <c r="F18" s="35"/>
      <c r="G18" s="43">
        <f>+'DESPIECE DE MATERIAL'!M27</f>
        <v>0</v>
      </c>
      <c r="H18" s="44" t="s">
        <v>136</v>
      </c>
      <c r="J18" s="45"/>
    </row>
    <row r="19" spans="1:10" ht="12" customHeight="1" x14ac:dyDescent="0.2">
      <c r="A19" s="19"/>
      <c r="B19" s="25" t="s">
        <v>137</v>
      </c>
      <c r="C19" s="35"/>
      <c r="D19" s="35"/>
      <c r="E19" s="35"/>
      <c r="F19" s="35"/>
      <c r="G19" s="119">
        <f>+'DESPIECE DE MATERIAL'!M28</f>
        <v>0</v>
      </c>
      <c r="H19" s="44" t="s">
        <v>138</v>
      </c>
      <c r="J19" s="45"/>
    </row>
    <row r="20" spans="1:10" ht="12" customHeight="1" x14ac:dyDescent="0.2">
      <c r="A20" s="19"/>
      <c r="B20" s="25" t="s">
        <v>139</v>
      </c>
      <c r="C20" s="35"/>
      <c r="D20" s="35"/>
      <c r="E20" s="35"/>
      <c r="F20" s="35"/>
      <c r="G20" s="43" t="str">
        <f>+'DESPIECE DE MATERIAL'!M29</f>
        <v/>
      </c>
      <c r="H20" s="44" t="s">
        <v>130</v>
      </c>
      <c r="J20" s="45"/>
    </row>
    <row r="21" spans="1:10" ht="12" customHeight="1" x14ac:dyDescent="0.2">
      <c r="A21" s="19"/>
      <c r="B21" s="25" t="s">
        <v>140</v>
      </c>
      <c r="C21" s="35"/>
      <c r="D21" s="35"/>
      <c r="E21" s="35"/>
      <c r="F21" s="35"/>
      <c r="G21" s="43" t="str">
        <f>+'DESPIECE DE MATERIAL'!M30</f>
        <v/>
      </c>
      <c r="H21" s="44" t="s">
        <v>138</v>
      </c>
      <c r="J21" s="45"/>
    </row>
    <row r="22" spans="1:10" ht="12" customHeight="1" x14ac:dyDescent="0.2">
      <c r="A22" s="19"/>
      <c r="B22" s="25" t="s">
        <v>141</v>
      </c>
      <c r="C22" s="35"/>
      <c r="D22" s="35"/>
      <c r="E22" s="35"/>
      <c r="F22" s="35"/>
      <c r="G22" s="43" t="str">
        <f>+'DESPIECE DE MATERIAL'!M31</f>
        <v/>
      </c>
      <c r="H22" s="44" t="s">
        <v>130</v>
      </c>
      <c r="J22" s="45"/>
    </row>
    <row r="23" spans="1:10" ht="12" customHeight="1" x14ac:dyDescent="0.2">
      <c r="A23" s="19"/>
      <c r="B23" s="25" t="s">
        <v>142</v>
      </c>
      <c r="C23" s="35"/>
      <c r="D23" s="35"/>
      <c r="E23" s="35"/>
      <c r="F23" s="35"/>
      <c r="G23" s="43" t="str">
        <f>+'DESPIECE DE MATERIAL'!M32</f>
        <v/>
      </c>
      <c r="H23" s="44" t="s">
        <v>136</v>
      </c>
      <c r="J23" s="45"/>
    </row>
    <row r="24" spans="1:10" ht="12" customHeight="1" x14ac:dyDescent="0.2">
      <c r="A24" s="19"/>
      <c r="B24" s="25" t="s">
        <v>143</v>
      </c>
      <c r="C24" s="35"/>
      <c r="D24" s="35"/>
      <c r="E24" s="35"/>
      <c r="F24" s="35"/>
      <c r="G24" s="43" t="str">
        <f>+'DESPIECE DE MATERIAL'!M33</f>
        <v/>
      </c>
      <c r="H24" s="44" t="s">
        <v>136</v>
      </c>
      <c r="J24" s="45"/>
    </row>
    <row r="25" spans="1:10" ht="12" customHeight="1" x14ac:dyDescent="0.2">
      <c r="A25" s="19"/>
      <c r="B25" s="46"/>
      <c r="C25" s="47"/>
      <c r="D25" s="47"/>
      <c r="E25" s="28"/>
      <c r="F25" s="48"/>
      <c r="G25" s="48"/>
      <c r="H25" s="48"/>
      <c r="J25" s="49"/>
    </row>
    <row r="26" spans="1:10" ht="10.5" customHeight="1" x14ac:dyDescent="0.2">
      <c r="A26" s="19"/>
      <c r="B26" s="480" t="s">
        <v>3004</v>
      </c>
      <c r="C26" s="480"/>
      <c r="D26" s="480"/>
      <c r="E26" s="480"/>
      <c r="F26" s="480"/>
      <c r="G26" s="480"/>
      <c r="H26" s="480"/>
      <c r="I26" s="75"/>
      <c r="J26" s="34"/>
    </row>
    <row r="27" spans="1:10" ht="10.5" customHeight="1" x14ac:dyDescent="0.2">
      <c r="A27" s="19"/>
      <c r="B27" s="480"/>
      <c r="C27" s="480"/>
      <c r="D27" s="480"/>
      <c r="E27" s="480"/>
      <c r="F27" s="480"/>
      <c r="G27" s="480"/>
      <c r="H27" s="480"/>
      <c r="I27" s="75"/>
      <c r="J27" s="34"/>
    </row>
    <row r="28" spans="1:10" x14ac:dyDescent="0.2">
      <c r="A28" s="19"/>
      <c r="B28" s="20"/>
      <c r="C28" s="20"/>
      <c r="D28" s="20"/>
      <c r="E28" s="20"/>
      <c r="F28" s="21"/>
      <c r="G28" s="21"/>
      <c r="H28" s="21"/>
      <c r="I28" s="21"/>
      <c r="J28" s="50"/>
    </row>
    <row r="29" spans="1:10" x14ac:dyDescent="0.2">
      <c r="A29" s="19"/>
      <c r="B29" s="20"/>
      <c r="C29" s="20"/>
      <c r="D29" s="20"/>
      <c r="E29" s="20"/>
      <c r="F29" s="21"/>
      <c r="G29" s="21"/>
      <c r="H29" s="21"/>
      <c r="I29" s="21"/>
      <c r="J29" s="50"/>
    </row>
    <row r="30" spans="1:10" x14ac:dyDescent="0.2">
      <c r="A30" s="19"/>
      <c r="B30" s="20"/>
      <c r="C30" s="20"/>
      <c r="D30" s="20"/>
      <c r="E30" s="20"/>
      <c r="F30" s="21"/>
      <c r="G30" s="21"/>
      <c r="H30" s="21"/>
      <c r="I30" s="21"/>
      <c r="J30" s="50"/>
    </row>
    <row r="31" spans="1:10" x14ac:dyDescent="0.2">
      <c r="A31" s="19"/>
      <c r="B31" s="20"/>
      <c r="C31" s="20"/>
      <c r="D31" s="20"/>
      <c r="E31" s="20"/>
      <c r="F31" s="21"/>
      <c r="G31" s="21"/>
      <c r="H31" s="21"/>
      <c r="I31" s="21"/>
      <c r="J31" s="50"/>
    </row>
    <row r="32" spans="1:10" x14ac:dyDescent="0.2">
      <c r="A32" s="19"/>
      <c r="B32" s="20"/>
      <c r="C32" s="51"/>
      <c r="D32" s="51"/>
      <c r="E32" s="20"/>
      <c r="F32" s="21"/>
      <c r="G32" s="21"/>
      <c r="H32" s="21"/>
      <c r="I32" s="21"/>
      <c r="J32" s="50"/>
    </row>
    <row r="33" spans="1:15" x14ac:dyDescent="0.2">
      <c r="A33" s="19"/>
      <c r="B33" s="46"/>
      <c r="C33" s="52"/>
      <c r="D33" s="52"/>
      <c r="E33" s="52"/>
      <c r="F33" s="52"/>
      <c r="G33" s="52"/>
      <c r="H33" s="52"/>
      <c r="I33" s="52"/>
      <c r="J33" s="53"/>
    </row>
    <row r="34" spans="1:15" x14ac:dyDescent="0.2">
      <c r="A34" s="19"/>
      <c r="B34" s="46"/>
      <c r="C34" s="52"/>
      <c r="D34" s="52"/>
      <c r="F34" s="52"/>
      <c r="G34" s="52"/>
      <c r="H34" s="52"/>
      <c r="I34" s="52"/>
      <c r="J34" s="53"/>
      <c r="O34" s="23" t="s">
        <v>156</v>
      </c>
    </row>
    <row r="35" spans="1:15" x14ac:dyDescent="0.2">
      <c r="A35" s="19"/>
      <c r="B35" s="46"/>
      <c r="C35" s="28"/>
      <c r="D35" s="28"/>
      <c r="E35" s="28"/>
      <c r="F35" s="28"/>
      <c r="G35" s="28"/>
      <c r="H35" s="28"/>
      <c r="I35" s="21"/>
      <c r="J35" s="50"/>
    </row>
    <row r="36" spans="1:15" x14ac:dyDescent="0.2">
      <c r="A36" s="19"/>
      <c r="B36" s="46"/>
      <c r="C36" s="28"/>
      <c r="D36" s="28"/>
      <c r="E36" s="54"/>
      <c r="F36" s="54"/>
      <c r="G36" s="54"/>
      <c r="H36" s="54"/>
      <c r="I36" s="54"/>
      <c r="J36" s="55"/>
    </row>
    <row r="37" spans="1:15" x14ac:dyDescent="0.2">
      <c r="A37" s="19"/>
      <c r="B37" s="46"/>
      <c r="C37" s="20"/>
      <c r="D37" s="20"/>
      <c r="E37" s="20"/>
      <c r="F37" s="20"/>
      <c r="G37" s="20"/>
      <c r="H37" s="20"/>
      <c r="I37" s="20"/>
      <c r="J37" s="37"/>
    </row>
    <row r="38" spans="1:15" x14ac:dyDescent="0.2">
      <c r="A38" s="19"/>
      <c r="B38" s="46"/>
      <c r="C38" s="20"/>
      <c r="D38" s="20"/>
      <c r="E38" s="20"/>
      <c r="F38" s="20"/>
      <c r="G38" s="20"/>
      <c r="H38" s="20"/>
      <c r="I38" s="20"/>
      <c r="J38" s="37"/>
    </row>
    <row r="39" spans="1:15" x14ac:dyDescent="0.2">
      <c r="A39" s="19"/>
      <c r="B39" s="46"/>
      <c r="C39" s="20"/>
      <c r="D39" s="20"/>
      <c r="E39" s="20"/>
      <c r="F39" s="20"/>
      <c r="G39" s="20"/>
      <c r="H39" s="20"/>
      <c r="I39" s="20"/>
      <c r="J39" s="37"/>
    </row>
    <row r="40" spans="1:15" x14ac:dyDescent="0.2">
      <c r="A40" s="19"/>
      <c r="B40" s="56"/>
      <c r="C40" s="25"/>
      <c r="D40" s="25"/>
      <c r="E40" s="20"/>
      <c r="F40" s="20"/>
      <c r="G40" s="20"/>
      <c r="H40" s="20"/>
      <c r="I40" s="57"/>
      <c r="J40" s="58"/>
    </row>
    <row r="41" spans="1:15" x14ac:dyDescent="0.2">
      <c r="A41" s="19"/>
      <c r="B41" s="20"/>
      <c r="C41" s="20"/>
      <c r="D41" s="20"/>
      <c r="E41" s="20"/>
      <c r="F41" s="20"/>
      <c r="G41" s="20"/>
      <c r="H41" s="20"/>
      <c r="I41" s="21"/>
      <c r="J41" s="50"/>
    </row>
    <row r="42" spans="1:15" x14ac:dyDescent="0.2">
      <c r="A42" s="19"/>
      <c r="B42" s="59"/>
      <c r="C42" s="59"/>
      <c r="D42" s="59"/>
      <c r="E42" s="59"/>
      <c r="F42" s="59"/>
      <c r="G42" s="59"/>
      <c r="H42" s="59"/>
    </row>
    <row r="43" spans="1:15" s="61" customFormat="1" ht="12.75" customHeight="1" x14ac:dyDescent="0.2">
      <c r="A43" s="60"/>
      <c r="B43" s="473" t="s">
        <v>3039</v>
      </c>
      <c r="C43" s="473"/>
      <c r="D43" s="473"/>
      <c r="F43" s="62"/>
      <c r="G43" s="62"/>
      <c r="H43" s="62"/>
      <c r="I43" s="138"/>
      <c r="J43" s="63"/>
    </row>
    <row r="44" spans="1:15" s="61" customFormat="1" ht="12.75" customHeight="1" x14ac:dyDescent="0.2">
      <c r="A44" s="60"/>
      <c r="B44" s="474" t="s">
        <v>3040</v>
      </c>
      <c r="C44" s="474"/>
      <c r="D44" s="474"/>
      <c r="E44" s="466" t="s">
        <v>157</v>
      </c>
      <c r="F44" s="467"/>
      <c r="G44" s="467"/>
      <c r="H44" s="468"/>
      <c r="I44" s="139"/>
      <c r="J44" s="64"/>
    </row>
    <row r="45" spans="1:15" s="61" customFormat="1" ht="12.75" customHeight="1" x14ac:dyDescent="0.2">
      <c r="A45" s="60"/>
      <c r="B45" s="474" t="s">
        <v>3041</v>
      </c>
      <c r="C45" s="474"/>
      <c r="D45" s="474"/>
      <c r="E45" s="469"/>
      <c r="F45" s="470"/>
      <c r="G45" s="470"/>
      <c r="H45" s="471"/>
      <c r="I45" s="140"/>
      <c r="J45" s="65"/>
    </row>
    <row r="46" spans="1:15" s="61" customFormat="1" ht="12.75" customHeight="1" x14ac:dyDescent="0.2">
      <c r="A46" s="60"/>
      <c r="B46" s="462" t="s">
        <v>3060</v>
      </c>
      <c r="C46" s="462"/>
      <c r="D46" s="462"/>
      <c r="E46" s="62"/>
      <c r="F46" s="62"/>
      <c r="G46" s="62"/>
      <c r="H46" s="62"/>
      <c r="I46" s="141"/>
      <c r="J46" s="5"/>
    </row>
    <row r="47" spans="1:15" s="68" customFormat="1" ht="15" customHeight="1" x14ac:dyDescent="0.2">
      <c r="A47" s="66"/>
      <c r="B47" s="1"/>
      <c r="C47" s="67"/>
      <c r="D47" s="67"/>
      <c r="E47" s="2"/>
      <c r="F47" s="3"/>
      <c r="G47" s="3"/>
      <c r="H47" s="22" t="s">
        <v>158</v>
      </c>
      <c r="I47" s="3"/>
      <c r="J47" s="4"/>
    </row>
    <row r="48" spans="1:15" ht="15" customHeight="1" x14ac:dyDescent="0.2">
      <c r="A48" s="19"/>
      <c r="B48" s="20"/>
      <c r="C48" s="20"/>
      <c r="D48" s="20"/>
      <c r="E48" s="20"/>
      <c r="F48" s="21"/>
      <c r="G48" s="21"/>
      <c r="J48" s="24"/>
    </row>
    <row r="49" spans="1:10" ht="15" customHeight="1" x14ac:dyDescent="0.2">
      <c r="A49" s="19"/>
      <c r="B49" s="25"/>
      <c r="C49" s="20"/>
      <c r="D49" s="20"/>
      <c r="E49" s="20"/>
      <c r="F49" s="26"/>
      <c r="G49" s="26"/>
      <c r="H49" s="26"/>
      <c r="I49" s="26"/>
      <c r="J49" s="27"/>
    </row>
    <row r="50" spans="1:10" ht="15" customHeight="1" x14ac:dyDescent="0.2">
      <c r="A50" s="19"/>
      <c r="B50" s="28"/>
      <c r="C50" s="20"/>
      <c r="D50" s="20"/>
      <c r="E50" s="20"/>
      <c r="F50" s="29"/>
      <c r="G50" s="29"/>
      <c r="H50" s="29"/>
      <c r="I50" s="29"/>
      <c r="J50" s="30"/>
    </row>
    <row r="51" spans="1:10" ht="15" customHeight="1" x14ac:dyDescent="0.2">
      <c r="A51" s="19"/>
      <c r="B51" s="28"/>
      <c r="C51" s="20"/>
      <c r="D51" s="20"/>
      <c r="E51" s="20"/>
      <c r="F51" s="31"/>
      <c r="G51" s="31"/>
      <c r="H51" s="31"/>
      <c r="I51" s="31"/>
      <c r="J51" s="32"/>
    </row>
    <row r="52" spans="1:10" s="37" customFormat="1" ht="14.1" customHeight="1" x14ac:dyDescent="0.25">
      <c r="A52" s="19"/>
      <c r="B52" s="482" t="s">
        <v>125</v>
      </c>
      <c r="C52" s="482"/>
      <c r="D52" s="482"/>
      <c r="E52" s="482"/>
      <c r="F52" s="482"/>
      <c r="G52" s="482"/>
      <c r="H52" s="482"/>
      <c r="I52" s="75"/>
      <c r="J52" s="34"/>
    </row>
    <row r="53" spans="1:10" s="37" customFormat="1" ht="14.1" customHeight="1" x14ac:dyDescent="0.25">
      <c r="A53" s="19"/>
      <c r="B53" s="482"/>
      <c r="C53" s="482"/>
      <c r="D53" s="482"/>
      <c r="E53" s="482"/>
      <c r="F53" s="482"/>
      <c r="G53" s="482"/>
      <c r="H53" s="482"/>
      <c r="I53" s="75"/>
      <c r="J53" s="34"/>
    </row>
    <row r="54" spans="1:10" s="37" customFormat="1" ht="14.1" customHeight="1" x14ac:dyDescent="0.25">
      <c r="A54" s="19"/>
      <c r="B54" s="112"/>
      <c r="C54" s="253"/>
      <c r="D54" s="28"/>
      <c r="E54" s="28"/>
      <c r="F54" s="21"/>
      <c r="G54" s="21"/>
      <c r="H54" s="21"/>
      <c r="I54" s="142"/>
      <c r="J54" s="69"/>
    </row>
    <row r="55" spans="1:10" s="37" customFormat="1" ht="14.1" customHeight="1" x14ac:dyDescent="0.25">
      <c r="A55" s="19"/>
      <c r="B55" s="124" t="s">
        <v>159</v>
      </c>
      <c r="C55" s="463" t="s">
        <v>160</v>
      </c>
      <c r="D55" s="463"/>
      <c r="E55" s="124" t="s">
        <v>128</v>
      </c>
      <c r="F55" s="124" t="s">
        <v>127</v>
      </c>
      <c r="G55" s="110" t="s">
        <v>161</v>
      </c>
      <c r="H55" s="124" t="s">
        <v>29</v>
      </c>
      <c r="I55" s="143"/>
    </row>
    <row r="56" spans="1:10" s="37" customFormat="1" ht="14.1" customHeight="1" x14ac:dyDescent="0.25">
      <c r="A56" s="19"/>
      <c r="B56" s="463" t="s">
        <v>28</v>
      </c>
      <c r="C56" s="463"/>
      <c r="D56" s="463"/>
      <c r="E56" s="463"/>
      <c r="F56" s="463"/>
      <c r="G56" s="463"/>
      <c r="H56" s="463"/>
      <c r="I56" s="144"/>
    </row>
    <row r="57" spans="1:10" s="37" customFormat="1" ht="14.1" customHeight="1" x14ac:dyDescent="0.25">
      <c r="A57" s="19"/>
      <c r="B57" s="126">
        <v>2912040</v>
      </c>
      <c r="C57" s="475" t="str">
        <f>_xlfn.IFNA(VLOOKUP(B57,PRECIOS[],COLUMN(PRECIOS[ITEM]),FALSE),"")</f>
        <v>AQUACELL NG UNIDAD BASE</v>
      </c>
      <c r="D57" s="475"/>
      <c r="E57" s="126" t="s">
        <v>162</v>
      </c>
      <c r="F57" s="126" t="str">
        <f>+G21</f>
        <v/>
      </c>
      <c r="G57" s="70">
        <f>_xlfn.IFNA(VLOOKUP(B57,PRECIOS[],COLUMN(PRECIOS[PRECIO]),FALSE),"")</f>
        <v>487975.40125724446</v>
      </c>
      <c r="H57" s="70" t="str">
        <f t="shared" ref="H57:H65" si="0">IFERROR(G57*F57,"")</f>
        <v/>
      </c>
      <c r="I57" s="144"/>
    </row>
    <row r="58" spans="1:10" s="37" customFormat="1" ht="14.1" customHeight="1" x14ac:dyDescent="0.25">
      <c r="A58" s="19"/>
      <c r="B58" s="126">
        <v>2912042</v>
      </c>
      <c r="C58" s="475" t="str">
        <f>_xlfn.IFNA(VLOOKUP(B58,PRECIOS[],COLUMN(PRECIOS[ITEM]),FALSE),"")</f>
        <v>AQUACELL NG TAPA LATERAL</v>
      </c>
      <c r="D58" s="475"/>
      <c r="E58" s="126" t="s">
        <v>162</v>
      </c>
      <c r="F58" s="126" t="str">
        <f>IF('DATOS DEL PROYECTO'!$I$38="No",DIMENSIONAMIENTO!H96,DIMENSIONAMIENTO_2!H28)</f>
        <v/>
      </c>
      <c r="G58" s="70">
        <f>_xlfn.IFNA(VLOOKUP(B58,PRECIOS[],COLUMN(PRECIOS[PRECIO]),FALSE),"")</f>
        <v>133192.71194008889</v>
      </c>
      <c r="H58" s="70" t="str">
        <f t="shared" si="0"/>
        <v/>
      </c>
      <c r="I58" s="144"/>
    </row>
    <row r="59" spans="1:10" s="37" customFormat="1" ht="14.1" customHeight="1" x14ac:dyDescent="0.25">
      <c r="A59" s="19"/>
      <c r="B59" s="126">
        <v>2912041</v>
      </c>
      <c r="C59" s="475" t="str">
        <f>_xlfn.IFNA(VLOOKUP(B59,PRECIOS[],COLUMN(PRECIOS[ITEM]),FALSE),"")</f>
        <v>AQUACELL NG TAPA DE FONDO</v>
      </c>
      <c r="D59" s="475"/>
      <c r="E59" s="126" t="s">
        <v>162</v>
      </c>
      <c r="F59" s="126" t="str">
        <f>IF('DATOS DEL PROYECTO'!$I$38="No",DIMENSIONAMIENTO!H97,DIMENSIONAMIENTO_2!H29)</f>
        <v/>
      </c>
      <c r="G59" s="70">
        <f>_xlfn.IFNA(VLOOKUP(B59,PRECIOS[],COLUMN(PRECIOS[PRECIO]),FALSE),"")</f>
        <v>166154.13750133335</v>
      </c>
      <c r="H59" s="70" t="str">
        <f t="shared" si="0"/>
        <v/>
      </c>
      <c r="I59" s="144"/>
    </row>
    <row r="60" spans="1:10" s="37" customFormat="1" ht="14.1" customHeight="1" x14ac:dyDescent="0.25">
      <c r="A60" s="19"/>
      <c r="B60" s="126">
        <v>2912044</v>
      </c>
      <c r="C60" s="475" t="str">
        <f>_xlfn.IFNA(VLOOKUP(B60,PRECIOS[],COLUMN(PRECIOS[ITEM]),FALSE),"")</f>
        <v>AQUACELL NG CONEXION INSPECCION 425MM</v>
      </c>
      <c r="D60" s="475"/>
      <c r="E60" s="126" t="s">
        <v>162</v>
      </c>
      <c r="F60" s="126" t="str">
        <f>IFERROR(IF(OR(G15&gt;=50,G16&gt;=50),ROUNDUP(G15/50,0)+ROUNDUP(G16/50,0),ROUNDUP(G22/200,0)),"")</f>
        <v/>
      </c>
      <c r="G60" s="70">
        <f>_xlfn.IFNA(VLOOKUP(B60,PRECIOS[],COLUMN(PRECIOS[PRECIO]),FALSE),"")</f>
        <v>2044103.9270499558</v>
      </c>
      <c r="H60" s="70" t="str">
        <f t="shared" si="0"/>
        <v/>
      </c>
      <c r="I60" s="143"/>
    </row>
    <row r="61" spans="1:10" s="37" customFormat="1" ht="14.1" customHeight="1" x14ac:dyDescent="0.25">
      <c r="A61" s="19"/>
      <c r="B61" s="126">
        <f>VLOOKUP(IF('DATOS DEL PROYECTO'!I38="No",DIMENSIONAMIENTO!H85,DIMENSIONAMIENTO_2!H17),'CÁLCULO MATERIALES AQUACELL'!C35:E39,3,TRUE)</f>
        <v>2902540</v>
      </c>
      <c r="C61" s="475" t="str">
        <f>_xlfn.IFNA(VLOOKUP(B61,PRECIOS[],COLUMN(PRECIOS[ITEM]),FALSE),"")</f>
        <v>ELEVADOR CAJA 400X500MM</v>
      </c>
      <c r="D61" s="475"/>
      <c r="E61" s="126" t="s">
        <v>162</v>
      </c>
      <c r="F61" s="126" t="str">
        <f>IFERROR(F60,"")</f>
        <v/>
      </c>
      <c r="G61" s="70">
        <f>_xlfn.IFNA(VLOOKUP(B61,PRECIOS[],COLUMN(PRECIOS[PRECIO]),FALSE),"")</f>
        <v>76721</v>
      </c>
      <c r="H61" s="70" t="str">
        <f t="shared" si="0"/>
        <v/>
      </c>
      <c r="I61" s="143"/>
    </row>
    <row r="62" spans="1:10" s="37" customFormat="1" ht="14.1" customHeight="1" x14ac:dyDescent="0.25">
      <c r="A62" s="19"/>
      <c r="B62" s="126">
        <v>2001996</v>
      </c>
      <c r="C62" s="475" t="str">
        <f>_xlfn.IFNA(VLOOKUP(B62,PRECIOS[],COLUMN(PRECIOS[ITEM]),FALSE),"")</f>
        <v>HIDROSELLO AQUACELL NG 425MM</v>
      </c>
      <c r="D62" s="475"/>
      <c r="E62" s="126" t="s">
        <v>162</v>
      </c>
      <c r="F62" s="126" t="str">
        <f>IFERROR(F60,"")</f>
        <v/>
      </c>
      <c r="G62" s="70">
        <f>_xlfn.IFNA(VLOOKUP(B62,PRECIOS[],COLUMN(PRECIOS[PRECIO]),FALSE),"")</f>
        <v>0</v>
      </c>
      <c r="H62" s="70" t="str">
        <f t="shared" si="0"/>
        <v/>
      </c>
      <c r="I62" s="143"/>
    </row>
    <row r="63" spans="1:10" s="37" customFormat="1" ht="14.1" customHeight="1" x14ac:dyDescent="0.25">
      <c r="A63" s="19"/>
      <c r="B63" s="126">
        <f>IF(OR(IF('DATOS DEL PROYECTO'!I38="No",DIMENSIONAMIENTO!H83,DIMENSIONAMIENTO_2!H15)="Zona Verde",IF('DATOS DEL PROYECTO'!I38="No",DIMENSIONAMIENTO!H83,DIMENSIONAMIENTO_2!H15)="Zona Peatonal"),2903561,2903702)</f>
        <v>2903702</v>
      </c>
      <c r="C63" s="475" t="str">
        <f>_xlfn.IFNA(VLOOKUP(B63,PRECIOS[],COLUMN(PRECIOS[ITEM]),FALSE),"")</f>
        <v>ARO TAPA PP CAJA 400 PESADA</v>
      </c>
      <c r="D63" s="475"/>
      <c r="E63" s="126" t="s">
        <v>162</v>
      </c>
      <c r="F63" s="126" t="str">
        <f>IFERROR(F60,"")</f>
        <v/>
      </c>
      <c r="G63" s="70">
        <f>_xlfn.IFNA(VLOOKUP(B63,PRECIOS[],COLUMN(PRECIOS[PRECIO]),FALSE),"")</f>
        <v>367266</v>
      </c>
      <c r="H63" s="70" t="str">
        <f t="shared" si="0"/>
        <v/>
      </c>
      <c r="I63" s="143"/>
    </row>
    <row r="64" spans="1:10" s="37" customFormat="1" ht="14.1" customHeight="1" x14ac:dyDescent="0.25">
      <c r="A64" s="19"/>
      <c r="B64" s="126" t="s">
        <v>163</v>
      </c>
      <c r="C64" s="475" t="s">
        <v>164</v>
      </c>
      <c r="D64" s="475"/>
      <c r="E64" s="126" t="s">
        <v>136</v>
      </c>
      <c r="F64" s="126" t="str">
        <f>G23</f>
        <v/>
      </c>
      <c r="G64" s="70">
        <v>11718</v>
      </c>
      <c r="H64" s="70" t="str">
        <f t="shared" si="0"/>
        <v/>
      </c>
      <c r="I64" s="143"/>
    </row>
    <row r="65" spans="1:13" s="37" customFormat="1" ht="14.1" customHeight="1" x14ac:dyDescent="0.25">
      <c r="A65" s="19"/>
      <c r="B65" s="126" t="s">
        <v>163</v>
      </c>
      <c r="C65" s="475" t="s">
        <v>165</v>
      </c>
      <c r="D65" s="475"/>
      <c r="E65" s="126" t="s">
        <v>136</v>
      </c>
      <c r="F65" s="126" t="str">
        <f>G24</f>
        <v/>
      </c>
      <c r="G65" s="70">
        <v>4100</v>
      </c>
      <c r="H65" s="70" t="str">
        <f t="shared" si="0"/>
        <v/>
      </c>
      <c r="I65" s="143"/>
    </row>
    <row r="66" spans="1:13" s="37" customFormat="1" ht="14.1" customHeight="1" x14ac:dyDescent="0.25">
      <c r="A66" s="19"/>
      <c r="B66" s="481" t="s">
        <v>166</v>
      </c>
      <c r="C66" s="481"/>
      <c r="D66" s="481"/>
      <c r="E66" s="481"/>
      <c r="F66" s="481"/>
      <c r="G66" s="481"/>
      <c r="H66" s="481"/>
      <c r="I66" s="144"/>
    </row>
    <row r="67" spans="1:13" s="37" customFormat="1" ht="14.1" customHeight="1" x14ac:dyDescent="0.25">
      <c r="A67" s="19"/>
      <c r="B67" s="126">
        <v>2900331</v>
      </c>
      <c r="C67" s="475" t="str">
        <f>_xlfn.IFNA(VLOOKUP(B67,PRECIOS[],COLUMN(PRECIOS[ITEM]),FALSE),"")</f>
        <v>TB SAN 4 6M</v>
      </c>
      <c r="D67" s="475"/>
      <c r="E67" s="126" t="s">
        <v>162</v>
      </c>
      <c r="F67" s="126" t="str">
        <f>IFERROR(ROUNDUP(((ROUNDUP((G22/100),0)*IF('DATOS DEL PROYECTO'!I38="No",DIMENSIONAMIENTO!H85,DIMENSIONAMIENTO_2!H17)*1.3)/6),0),"")</f>
        <v/>
      </c>
      <c r="G67" s="70">
        <f>_xlfn.IFNA(VLOOKUP(B67,PRECIOS[],COLUMN(PRECIOS[PRECIO]),FALSE),"")</f>
        <v>160159</v>
      </c>
      <c r="H67" s="70" t="str">
        <f>IFERROR(G67*F67,"")</f>
        <v/>
      </c>
      <c r="I67" s="143"/>
      <c r="J67" s="197"/>
      <c r="K67" s="197"/>
      <c r="L67" s="197"/>
      <c r="M67" s="71"/>
    </row>
    <row r="68" spans="1:13" s="37" customFormat="1" ht="14.1" customHeight="1" x14ac:dyDescent="0.25">
      <c r="A68" s="19"/>
      <c r="B68" s="126">
        <v>2901221</v>
      </c>
      <c r="C68" s="475" t="str">
        <f>_xlfn.IFNA(VLOOKUP(B68,PRECIOS[],COLUMN(PRECIOS[ITEM]),FALSE),"")</f>
        <v>CODO SAN 90 4 CXC - 10 UN</v>
      </c>
      <c r="D68" s="475"/>
      <c r="E68" s="126" t="s">
        <v>162</v>
      </c>
      <c r="F68" s="126" t="str">
        <f>IFERROR(ROUNDUP((G22/100),0)*2,"")</f>
        <v/>
      </c>
      <c r="G68" s="70">
        <f>_xlfn.IFNA(VLOOKUP(B68,PRECIOS[],COLUMN(PRECIOS[PRECIO]),FALSE),"")</f>
        <v>13643</v>
      </c>
      <c r="H68" s="70" t="str">
        <f>IFERROR(G68*F68,"")</f>
        <v/>
      </c>
      <c r="I68" s="143"/>
      <c r="J68" s="197"/>
      <c r="K68" s="197"/>
      <c r="L68" s="197"/>
      <c r="M68" s="71"/>
    </row>
    <row r="69" spans="1:13" s="37" customFormat="1" ht="14.1" customHeight="1" x14ac:dyDescent="0.25">
      <c r="A69" s="19"/>
      <c r="B69" s="126">
        <v>2910000</v>
      </c>
      <c r="C69" s="475" t="str">
        <f>_xlfn.IFNA(VLOOKUP(B69,PRECIOS[],COLUMN(PRECIOS[ITEM]),FALSE),"")</f>
        <v>SOLDADURA APLIC PVC LOW VOC 1/4 GAL-12UN</v>
      </c>
      <c r="D69" s="475"/>
      <c r="E69" s="126" t="s">
        <v>162</v>
      </c>
      <c r="F69" s="126" t="str">
        <f>IFERROR(ROUNDUP((F67*2)/60+(F68*2)/45,0),"")</f>
        <v/>
      </c>
      <c r="G69" s="70">
        <f>_xlfn.IFNA(VLOOKUP(B69,PRECIOS[],COLUMN(PRECIOS[PRECIO]),FALSE),"")</f>
        <v>104430</v>
      </c>
      <c r="H69" s="70" t="str">
        <f>IFERROR(G69*F69,"")</f>
        <v/>
      </c>
      <c r="I69" s="143"/>
      <c r="J69" s="197"/>
      <c r="K69" s="197"/>
      <c r="L69" s="197"/>
      <c r="M69" s="71"/>
    </row>
    <row r="70" spans="1:13" s="37" customFormat="1" ht="14.1" customHeight="1" x14ac:dyDescent="0.25">
      <c r="A70" s="19"/>
      <c r="B70" s="126">
        <v>2902737</v>
      </c>
      <c r="C70" s="475" t="str">
        <f>_xlfn.IFNA(VLOOKUP(B70,PRECIOS[],COLUMN(PRECIOS[ITEM]),FALSE),"")</f>
        <v>LIMPIADOR P/UNION 1/4GAL - 12 UN</v>
      </c>
      <c r="D70" s="475"/>
      <c r="E70" s="126" t="s">
        <v>162</v>
      </c>
      <c r="F70" s="126" t="str">
        <f>IFERROR(ROUNDUP((F67*2)/60+(F68*2)/45,0),"")</f>
        <v/>
      </c>
      <c r="G70" s="70">
        <f>_xlfn.IFNA(VLOOKUP(B70,PRECIOS[],COLUMN(PRECIOS[PRECIO]),FALSE),"")</f>
        <v>50354</v>
      </c>
      <c r="H70" s="70" t="str">
        <f>IFERROR(G70*F70,"")</f>
        <v/>
      </c>
      <c r="I70" s="143"/>
      <c r="J70" s="197"/>
      <c r="K70" s="197"/>
      <c r="L70" s="197"/>
      <c r="M70" s="71"/>
    </row>
    <row r="71" spans="1:13" s="37" customFormat="1" ht="14.1" customHeight="1" x14ac:dyDescent="0.25">
      <c r="A71" s="19"/>
      <c r="B71" s="472" t="s">
        <v>167</v>
      </c>
      <c r="C71" s="472"/>
      <c r="D71" s="472"/>
      <c r="E71" s="472"/>
      <c r="F71" s="472"/>
      <c r="G71" s="472"/>
      <c r="H71" s="472"/>
      <c r="I71" s="144"/>
    </row>
    <row r="72" spans="1:13" s="37" customFormat="1" ht="14.1" customHeight="1" x14ac:dyDescent="0.25">
      <c r="A72" s="20"/>
      <c r="B72" s="126"/>
      <c r="C72" s="475" t="str">
        <f>_xlfn.IFNA(VLOOKUP(B72,PRECIOS[],COLUMN(PRECIOS[ITEM]),FALSE),"")</f>
        <v/>
      </c>
      <c r="D72" s="475"/>
      <c r="E72" s="126" t="str">
        <f>IF(B72&lt;&gt;"","UN","")</f>
        <v/>
      </c>
      <c r="F72" s="126"/>
      <c r="G72" s="70" t="str">
        <f>_xlfn.IFNA(VLOOKUP(B72,PRECIOS[],COLUMN(PRECIOS[PRECIO]),FALSE),"")</f>
        <v/>
      </c>
      <c r="H72" s="70" t="str">
        <f>IFERROR(G72*F72,"")</f>
        <v/>
      </c>
      <c r="I72" s="144"/>
    </row>
    <row r="73" spans="1:13" s="37" customFormat="1" ht="14.1" customHeight="1" x14ac:dyDescent="0.25">
      <c r="A73" s="20"/>
      <c r="B73" s="72"/>
      <c r="C73" s="126"/>
      <c r="D73" s="126"/>
      <c r="E73" s="126"/>
      <c r="F73" s="126"/>
      <c r="G73" s="73" t="s">
        <v>168</v>
      </c>
      <c r="H73" s="74">
        <f>SUM(H60:H72)</f>
        <v>0</v>
      </c>
      <c r="I73" s="143"/>
    </row>
    <row r="74" spans="1:13" s="37" customFormat="1" ht="14.1" customHeight="1" x14ac:dyDescent="0.25">
      <c r="A74" s="19"/>
      <c r="B74" s="75"/>
      <c r="C74" s="75"/>
      <c r="D74" s="75"/>
      <c r="E74" s="75"/>
      <c r="F74" s="75"/>
      <c r="G74" s="73" t="s">
        <v>169</v>
      </c>
      <c r="H74" s="74">
        <f>H73*0.19</f>
        <v>0</v>
      </c>
      <c r="I74" s="75"/>
      <c r="J74" s="33"/>
      <c r="K74" s="198"/>
    </row>
    <row r="75" spans="1:13" s="37" customFormat="1" ht="14.1" customHeight="1" x14ac:dyDescent="0.25">
      <c r="A75" s="19"/>
      <c r="B75" s="75"/>
      <c r="C75" s="75"/>
      <c r="D75" s="75"/>
      <c r="E75" s="75"/>
      <c r="F75" s="75"/>
      <c r="G75" s="73" t="s">
        <v>29</v>
      </c>
      <c r="H75" s="74">
        <f>H73+H74</f>
        <v>0</v>
      </c>
      <c r="I75" s="75"/>
      <c r="J75" s="33"/>
      <c r="K75" s="198"/>
    </row>
    <row r="76" spans="1:13" ht="14.1" customHeight="1" x14ac:dyDescent="0.2">
      <c r="A76" s="19"/>
      <c r="B76" s="465" t="s">
        <v>170</v>
      </c>
      <c r="C76" s="465"/>
      <c r="D76" s="465"/>
      <c r="E76" s="465"/>
      <c r="F76" s="465"/>
      <c r="G76" s="465"/>
      <c r="H76" s="465"/>
      <c r="I76" s="465"/>
      <c r="J76" s="34"/>
      <c r="K76" s="199"/>
    </row>
    <row r="77" spans="1:13" ht="14.1" customHeight="1" x14ac:dyDescent="0.2">
      <c r="A77" s="19"/>
      <c r="B77" s="465"/>
      <c r="C77" s="465"/>
      <c r="D77" s="465"/>
      <c r="E77" s="465"/>
      <c r="F77" s="465"/>
      <c r="G77" s="465"/>
      <c r="H77" s="465"/>
      <c r="I77" s="465"/>
      <c r="J77" s="34"/>
    </row>
    <row r="78" spans="1:13" ht="46.5" customHeight="1" x14ac:dyDescent="0.2">
      <c r="A78" s="19"/>
      <c r="B78" s="46" t="s">
        <v>171</v>
      </c>
      <c r="C78" s="464" t="s">
        <v>3042</v>
      </c>
      <c r="D78" s="464"/>
      <c r="E78" s="464"/>
      <c r="F78" s="464"/>
      <c r="G78" s="464"/>
      <c r="H78" s="464"/>
      <c r="I78" s="52"/>
      <c r="J78" s="34"/>
    </row>
    <row r="79" spans="1:13" ht="37.5" customHeight="1" x14ac:dyDescent="0.2">
      <c r="A79" s="19"/>
      <c r="B79" s="46" t="s">
        <v>171</v>
      </c>
      <c r="C79" s="464" t="s">
        <v>3111</v>
      </c>
      <c r="D79" s="464"/>
      <c r="E79" s="464"/>
      <c r="F79" s="464"/>
      <c r="G79" s="464"/>
      <c r="H79" s="464"/>
      <c r="I79" s="52"/>
      <c r="J79" s="34"/>
    </row>
    <row r="80" spans="1:13" ht="50.25" customHeight="1" x14ac:dyDescent="0.2">
      <c r="A80" s="19"/>
      <c r="B80" s="46" t="s">
        <v>171</v>
      </c>
      <c r="C80" s="464" t="s">
        <v>3112</v>
      </c>
      <c r="D80" s="464"/>
      <c r="E80" s="464"/>
      <c r="F80" s="464"/>
      <c r="G80" s="464"/>
      <c r="H80" s="464"/>
      <c r="I80" s="52"/>
      <c r="J80" s="53"/>
    </row>
    <row r="81" spans="1:12" ht="24" customHeight="1" x14ac:dyDescent="0.2">
      <c r="A81" s="19"/>
      <c r="B81" s="46" t="s">
        <v>171</v>
      </c>
      <c r="C81" s="464" t="s">
        <v>172</v>
      </c>
      <c r="D81" s="464"/>
      <c r="E81" s="464"/>
      <c r="F81" s="464"/>
      <c r="G81" s="464"/>
      <c r="H81" s="464"/>
      <c r="I81" s="76"/>
      <c r="J81" s="53"/>
    </row>
    <row r="82" spans="1:12" ht="6.75" customHeight="1" x14ac:dyDescent="0.2">
      <c r="A82" s="19"/>
      <c r="B82" s="46"/>
      <c r="C82" s="125"/>
      <c r="D82" s="125"/>
      <c r="E82" s="125"/>
      <c r="F82" s="125"/>
      <c r="G82" s="125"/>
      <c r="H82" s="125"/>
      <c r="I82" s="54"/>
      <c r="J82" s="55"/>
    </row>
    <row r="83" spans="1:12" s="61" customFormat="1" ht="12.75" customHeight="1" x14ac:dyDescent="0.2">
      <c r="A83" s="60"/>
      <c r="B83" s="473" t="s">
        <v>3039</v>
      </c>
      <c r="C83" s="473"/>
      <c r="D83" s="473"/>
      <c r="F83" s="62"/>
      <c r="G83" s="62"/>
      <c r="H83" s="62"/>
      <c r="I83" s="138"/>
      <c r="J83" s="63"/>
    </row>
    <row r="84" spans="1:12" s="61" customFormat="1" ht="12.75" customHeight="1" x14ac:dyDescent="0.2">
      <c r="A84" s="60"/>
      <c r="B84" s="474" t="s">
        <v>3040</v>
      </c>
      <c r="C84" s="474"/>
      <c r="D84" s="474"/>
      <c r="E84" s="466" t="s">
        <v>157</v>
      </c>
      <c r="F84" s="467"/>
      <c r="G84" s="467"/>
      <c r="H84" s="468"/>
      <c r="I84" s="139"/>
      <c r="J84" s="64"/>
    </row>
    <row r="85" spans="1:12" s="61" customFormat="1" ht="12.75" customHeight="1" x14ac:dyDescent="0.2">
      <c r="A85" s="60"/>
      <c r="B85" s="474" t="s">
        <v>3041</v>
      </c>
      <c r="C85" s="474"/>
      <c r="D85" s="474"/>
      <c r="E85" s="469"/>
      <c r="F85" s="470"/>
      <c r="G85" s="470"/>
      <c r="H85" s="471"/>
      <c r="I85" s="140"/>
      <c r="J85" s="65"/>
    </row>
    <row r="86" spans="1:12" s="61" customFormat="1" ht="12.75" customHeight="1" x14ac:dyDescent="0.2">
      <c r="A86" s="60"/>
      <c r="B86" s="462" t="s">
        <v>3060</v>
      </c>
      <c r="C86" s="462"/>
      <c r="D86" s="462"/>
      <c r="E86" s="62"/>
      <c r="F86" s="62"/>
      <c r="G86" s="62"/>
      <c r="H86" s="62"/>
      <c r="I86" s="141"/>
      <c r="J86" s="5"/>
    </row>
    <row r="87" spans="1:12" hidden="1" x14ac:dyDescent="0.2">
      <c r="A87" s="59"/>
      <c r="B87" s="59"/>
      <c r="C87" s="59"/>
      <c r="D87" s="59"/>
      <c r="E87" s="59"/>
      <c r="F87" s="59"/>
      <c r="G87" s="59"/>
      <c r="H87" s="59"/>
    </row>
    <row r="88" spans="1:12" s="59" customFormat="1" hidden="1" x14ac:dyDescent="0.2">
      <c r="J88" s="23"/>
      <c r="K88" s="23"/>
      <c r="L88" s="23"/>
    </row>
    <row r="89" spans="1:12" s="59" customFormat="1" hidden="1" x14ac:dyDescent="0.2">
      <c r="J89" s="23"/>
      <c r="K89" s="23"/>
      <c r="L89" s="23"/>
    </row>
    <row r="90" spans="1:12" s="59" customFormat="1" hidden="1" x14ac:dyDescent="0.2">
      <c r="J90" s="23"/>
      <c r="K90" s="23"/>
      <c r="L90" s="23"/>
    </row>
    <row r="91" spans="1:12" s="59" customFormat="1" hidden="1" x14ac:dyDescent="0.2">
      <c r="J91" s="23"/>
      <c r="K91" s="23"/>
      <c r="L91" s="23"/>
    </row>
    <row r="92" spans="1:12" s="59" customFormat="1" hidden="1" x14ac:dyDescent="0.2">
      <c r="J92" s="23"/>
      <c r="K92" s="23"/>
      <c r="L92" s="23"/>
    </row>
    <row r="93" spans="1:12" s="59" customFormat="1" hidden="1" x14ac:dyDescent="0.2">
      <c r="J93" s="23"/>
      <c r="K93" s="23"/>
      <c r="L93" s="23"/>
    </row>
    <row r="94" spans="1:12" s="59" customFormat="1" hidden="1" x14ac:dyDescent="0.2">
      <c r="J94" s="23"/>
      <c r="K94" s="23"/>
      <c r="L94" s="23"/>
    </row>
    <row r="95" spans="1:12" s="59" customFormat="1" hidden="1" x14ac:dyDescent="0.2">
      <c r="J95" s="23"/>
      <c r="K95" s="23"/>
      <c r="L95" s="23"/>
    </row>
    <row r="96" spans="1:12" s="59" customFormat="1" hidden="1" x14ac:dyDescent="0.2">
      <c r="J96" s="23"/>
      <c r="K96" s="23"/>
      <c r="L96" s="23"/>
    </row>
    <row r="97" spans="10:12" s="59" customFormat="1" hidden="1" x14ac:dyDescent="0.2">
      <c r="J97" s="23"/>
      <c r="K97" s="23"/>
      <c r="L97" s="23"/>
    </row>
    <row r="98" spans="10:12" s="59" customFormat="1" hidden="1" x14ac:dyDescent="0.2">
      <c r="J98" s="23"/>
      <c r="K98" s="23"/>
      <c r="L98" s="23"/>
    </row>
    <row r="99" spans="10:12" s="59" customFormat="1" hidden="1" x14ac:dyDescent="0.2">
      <c r="J99" s="23"/>
      <c r="K99" s="23"/>
      <c r="L99" s="23"/>
    </row>
    <row r="100" spans="10:12" s="59" customFormat="1" hidden="1" x14ac:dyDescent="0.2">
      <c r="J100" s="23"/>
      <c r="K100" s="23"/>
      <c r="L100" s="23"/>
    </row>
    <row r="101" spans="10:12" s="59" customFormat="1" hidden="1" x14ac:dyDescent="0.2">
      <c r="J101" s="23"/>
      <c r="K101" s="23"/>
      <c r="L101" s="23"/>
    </row>
    <row r="102" spans="10:12" s="59" customFormat="1" hidden="1" x14ac:dyDescent="0.2">
      <c r="J102" s="23"/>
      <c r="K102" s="23"/>
      <c r="L102" s="23"/>
    </row>
    <row r="103" spans="10:12" s="59" customFormat="1" hidden="1" x14ac:dyDescent="0.2">
      <c r="J103" s="23"/>
      <c r="K103" s="23"/>
      <c r="L103" s="23"/>
    </row>
    <row r="104" spans="10:12" s="59" customFormat="1" hidden="1" x14ac:dyDescent="0.2">
      <c r="J104" s="23"/>
      <c r="K104" s="23"/>
      <c r="L104" s="23"/>
    </row>
    <row r="105" spans="10:12" s="59" customFormat="1" hidden="1" x14ac:dyDescent="0.2">
      <c r="J105" s="23"/>
      <c r="K105" s="23"/>
      <c r="L105" s="23"/>
    </row>
    <row r="106" spans="10:12" s="59" customFormat="1" hidden="1" x14ac:dyDescent="0.2">
      <c r="J106" s="23"/>
      <c r="K106" s="23"/>
      <c r="L106" s="23"/>
    </row>
    <row r="107" spans="10:12" s="59" customFormat="1" hidden="1" x14ac:dyDescent="0.2">
      <c r="J107" s="23"/>
      <c r="K107" s="23"/>
      <c r="L107" s="23"/>
    </row>
    <row r="108" spans="10:12" s="59" customFormat="1" hidden="1" x14ac:dyDescent="0.2">
      <c r="J108" s="23"/>
      <c r="K108" s="23"/>
      <c r="L108" s="23"/>
    </row>
    <row r="109" spans="10:12" s="59" customFormat="1" hidden="1" x14ac:dyDescent="0.2">
      <c r="J109" s="23"/>
      <c r="K109" s="23"/>
      <c r="L109" s="23"/>
    </row>
    <row r="110" spans="10:12" s="59" customFormat="1" hidden="1" x14ac:dyDescent="0.2">
      <c r="J110" s="23"/>
      <c r="K110" s="23"/>
      <c r="L110" s="23"/>
    </row>
    <row r="111" spans="10:12" s="59" customFormat="1" hidden="1" x14ac:dyDescent="0.2">
      <c r="J111" s="23"/>
      <c r="K111" s="23"/>
      <c r="L111" s="23"/>
    </row>
    <row r="112" spans="10:12" s="59" customFormat="1" hidden="1" x14ac:dyDescent="0.2">
      <c r="J112" s="23"/>
      <c r="K112" s="23"/>
      <c r="L112" s="23"/>
    </row>
    <row r="113" spans="10:12" s="59" customFormat="1" hidden="1" x14ac:dyDescent="0.2">
      <c r="J113" s="23"/>
      <c r="K113" s="23"/>
      <c r="L113" s="23"/>
    </row>
    <row r="114" spans="10:12" s="59" customFormat="1" hidden="1" x14ac:dyDescent="0.2">
      <c r="J114" s="23"/>
      <c r="K114" s="23"/>
      <c r="L114" s="23"/>
    </row>
    <row r="115" spans="10:12" s="59" customFormat="1" hidden="1" x14ac:dyDescent="0.2">
      <c r="J115" s="23"/>
      <c r="K115" s="23"/>
      <c r="L115" s="23"/>
    </row>
    <row r="116" spans="10:12" s="59" customFormat="1" hidden="1" x14ac:dyDescent="0.2">
      <c r="J116" s="23"/>
      <c r="K116" s="23"/>
      <c r="L116" s="23"/>
    </row>
    <row r="117" spans="10:12" s="59" customFormat="1" hidden="1" x14ac:dyDescent="0.2">
      <c r="J117" s="23"/>
      <c r="K117" s="23"/>
      <c r="L117" s="23"/>
    </row>
    <row r="118" spans="10:12" s="59" customFormat="1" hidden="1" x14ac:dyDescent="0.2">
      <c r="J118" s="23"/>
      <c r="K118" s="23"/>
      <c r="L118" s="23"/>
    </row>
    <row r="119" spans="10:12" s="59" customFormat="1" hidden="1" x14ac:dyDescent="0.2">
      <c r="J119" s="23"/>
      <c r="K119" s="23"/>
      <c r="L119" s="23"/>
    </row>
    <row r="120" spans="10:12" s="59" customFormat="1" hidden="1" x14ac:dyDescent="0.2">
      <c r="J120" s="23"/>
      <c r="K120" s="23"/>
      <c r="L120" s="23"/>
    </row>
    <row r="121" spans="10:12" s="59" customFormat="1" hidden="1" x14ac:dyDescent="0.2">
      <c r="J121" s="23"/>
      <c r="K121" s="23"/>
      <c r="L121" s="23"/>
    </row>
    <row r="122" spans="10:12" s="59" customFormat="1" hidden="1" x14ac:dyDescent="0.2">
      <c r="J122" s="23"/>
      <c r="K122" s="23"/>
      <c r="L122" s="23"/>
    </row>
    <row r="123" spans="10:12" s="59" customFormat="1" hidden="1" x14ac:dyDescent="0.2">
      <c r="J123" s="23"/>
      <c r="K123" s="23"/>
      <c r="L123" s="23"/>
    </row>
    <row r="124" spans="10:12" s="59" customFormat="1" hidden="1" x14ac:dyDescent="0.2">
      <c r="J124" s="23"/>
      <c r="K124" s="23"/>
      <c r="L124" s="23"/>
    </row>
    <row r="125" spans="10:12" s="59" customFormat="1" hidden="1" x14ac:dyDescent="0.2">
      <c r="J125" s="23"/>
      <c r="K125" s="23"/>
      <c r="L125" s="23"/>
    </row>
    <row r="126" spans="10:12" s="59" customFormat="1" hidden="1" x14ac:dyDescent="0.2">
      <c r="J126" s="23"/>
      <c r="K126" s="23"/>
      <c r="L126" s="23"/>
    </row>
    <row r="127" spans="10:12" s="59" customFormat="1" hidden="1" x14ac:dyDescent="0.2">
      <c r="J127" s="23"/>
      <c r="K127" s="23"/>
      <c r="L127" s="23"/>
    </row>
    <row r="128" spans="10:12" s="59" customFormat="1" hidden="1" x14ac:dyDescent="0.2">
      <c r="J128" s="23"/>
      <c r="K128" s="23"/>
      <c r="L128" s="23"/>
    </row>
    <row r="129" spans="10:12" s="59" customFormat="1" hidden="1" x14ac:dyDescent="0.2">
      <c r="J129" s="23"/>
      <c r="K129" s="23"/>
      <c r="L129" s="23"/>
    </row>
    <row r="130" spans="10:12" s="59" customFormat="1" hidden="1" x14ac:dyDescent="0.2">
      <c r="J130" s="23"/>
      <c r="K130" s="23"/>
      <c r="L130" s="23"/>
    </row>
    <row r="131" spans="10:12" s="59" customFormat="1" hidden="1" x14ac:dyDescent="0.2">
      <c r="J131" s="23"/>
      <c r="K131" s="23"/>
      <c r="L131" s="23"/>
    </row>
    <row r="132" spans="10:12" s="59" customFormat="1" hidden="1" x14ac:dyDescent="0.2">
      <c r="J132" s="23"/>
      <c r="K132" s="23"/>
      <c r="L132" s="23"/>
    </row>
    <row r="133" spans="10:12" s="59" customFormat="1" hidden="1" x14ac:dyDescent="0.2">
      <c r="J133" s="23"/>
      <c r="K133" s="23"/>
      <c r="L133" s="23"/>
    </row>
    <row r="134" spans="10:12" s="59" customFormat="1" hidden="1" x14ac:dyDescent="0.2">
      <c r="J134" s="23"/>
      <c r="K134" s="23"/>
      <c r="L134" s="23"/>
    </row>
    <row r="135" spans="10:12" s="59" customFormat="1" hidden="1" x14ac:dyDescent="0.2">
      <c r="J135" s="23"/>
      <c r="K135" s="23"/>
      <c r="L135" s="23"/>
    </row>
    <row r="136" spans="10:12" s="59" customFormat="1" hidden="1" x14ac:dyDescent="0.2">
      <c r="J136" s="23"/>
      <c r="K136" s="23"/>
      <c r="L136" s="23"/>
    </row>
    <row r="137" spans="10:12" s="59" customFormat="1" hidden="1" x14ac:dyDescent="0.2">
      <c r="J137" s="23"/>
      <c r="K137" s="23"/>
      <c r="L137" s="23"/>
    </row>
    <row r="138" spans="10:12" s="59" customFormat="1" hidden="1" x14ac:dyDescent="0.2">
      <c r="J138" s="23"/>
      <c r="K138" s="23"/>
      <c r="L138" s="23"/>
    </row>
    <row r="139" spans="10:12" s="59" customFormat="1" hidden="1" x14ac:dyDescent="0.2">
      <c r="J139" s="23"/>
      <c r="K139" s="23"/>
      <c r="L139" s="23"/>
    </row>
    <row r="140" spans="10:12" s="59" customFormat="1" hidden="1" x14ac:dyDescent="0.2">
      <c r="J140" s="23"/>
      <c r="K140" s="23"/>
      <c r="L140" s="23"/>
    </row>
    <row r="141" spans="10:12" s="59" customFormat="1" hidden="1" x14ac:dyDescent="0.2">
      <c r="J141" s="23"/>
      <c r="K141" s="23"/>
      <c r="L141" s="23"/>
    </row>
    <row r="142" spans="10:12" s="59" customFormat="1" hidden="1" x14ac:dyDescent="0.2">
      <c r="J142" s="23"/>
      <c r="K142" s="23"/>
      <c r="L142" s="23"/>
    </row>
    <row r="143" spans="10:12" s="59" customFormat="1" hidden="1" x14ac:dyDescent="0.2">
      <c r="J143" s="23"/>
      <c r="K143" s="23"/>
      <c r="L143" s="23"/>
    </row>
    <row r="144" spans="10:12" s="59" customFormat="1" hidden="1" x14ac:dyDescent="0.2">
      <c r="J144" s="23"/>
      <c r="K144" s="23"/>
      <c r="L144" s="23"/>
    </row>
    <row r="145" spans="10:12" s="59" customFormat="1" hidden="1" x14ac:dyDescent="0.2">
      <c r="J145" s="23"/>
      <c r="K145" s="23"/>
      <c r="L145" s="23"/>
    </row>
    <row r="146" spans="10:12" s="59" customFormat="1" hidden="1" x14ac:dyDescent="0.2">
      <c r="J146" s="23"/>
      <c r="K146" s="23"/>
      <c r="L146" s="23"/>
    </row>
    <row r="147" spans="10:12" s="59" customFormat="1" hidden="1" x14ac:dyDescent="0.2">
      <c r="J147" s="23"/>
      <c r="K147" s="23"/>
      <c r="L147" s="23"/>
    </row>
    <row r="148" spans="10:12" s="59" customFormat="1" hidden="1" x14ac:dyDescent="0.2">
      <c r="J148" s="23"/>
      <c r="K148" s="23"/>
      <c r="L148" s="23"/>
    </row>
    <row r="149" spans="10:12" s="59" customFormat="1" hidden="1" x14ac:dyDescent="0.2">
      <c r="J149" s="23"/>
      <c r="K149" s="23"/>
      <c r="L149" s="23"/>
    </row>
    <row r="150" spans="10:12" s="59" customFormat="1" hidden="1" x14ac:dyDescent="0.2">
      <c r="J150" s="23"/>
      <c r="K150" s="23"/>
      <c r="L150" s="23"/>
    </row>
    <row r="151" spans="10:12" s="59" customFormat="1" hidden="1" x14ac:dyDescent="0.2">
      <c r="J151" s="23"/>
      <c r="K151" s="23"/>
      <c r="L151" s="23"/>
    </row>
    <row r="152" spans="10:12" s="59" customFormat="1" hidden="1" x14ac:dyDescent="0.2">
      <c r="J152" s="23"/>
      <c r="K152" s="23"/>
      <c r="L152" s="23"/>
    </row>
    <row r="153" spans="10:12" s="59" customFormat="1" hidden="1" x14ac:dyDescent="0.2">
      <c r="J153" s="23"/>
      <c r="K153" s="23"/>
      <c r="L153" s="23"/>
    </row>
    <row r="154" spans="10:12" s="59" customFormat="1" hidden="1" x14ac:dyDescent="0.2">
      <c r="J154" s="23"/>
      <c r="K154" s="23"/>
      <c r="L154" s="23"/>
    </row>
    <row r="155" spans="10:12" s="59" customFormat="1" hidden="1" x14ac:dyDescent="0.2">
      <c r="J155" s="23"/>
      <c r="K155" s="23"/>
      <c r="L155" s="23"/>
    </row>
    <row r="156" spans="10:12" s="59" customFormat="1" hidden="1" x14ac:dyDescent="0.2">
      <c r="J156" s="23"/>
      <c r="K156" s="23"/>
      <c r="L156" s="23"/>
    </row>
    <row r="157" spans="10:12" s="59" customFormat="1" hidden="1" x14ac:dyDescent="0.2">
      <c r="J157" s="23"/>
      <c r="K157" s="23"/>
      <c r="L157" s="23"/>
    </row>
    <row r="158" spans="10:12" s="59" customFormat="1" hidden="1" x14ac:dyDescent="0.2">
      <c r="J158" s="23"/>
      <c r="K158" s="23"/>
      <c r="L158" s="23"/>
    </row>
    <row r="159" spans="10:12" s="59" customFormat="1" hidden="1" x14ac:dyDescent="0.2">
      <c r="J159" s="23"/>
      <c r="K159" s="23"/>
      <c r="L159" s="23"/>
    </row>
    <row r="160" spans="10:12" s="59" customFormat="1" hidden="1" x14ac:dyDescent="0.2">
      <c r="J160" s="23"/>
      <c r="K160" s="23"/>
      <c r="L160" s="23"/>
    </row>
    <row r="161" spans="10:12" s="59" customFormat="1" hidden="1" x14ac:dyDescent="0.2">
      <c r="J161" s="23"/>
      <c r="K161" s="23"/>
      <c r="L161" s="23"/>
    </row>
    <row r="162" spans="10:12" s="59" customFormat="1" hidden="1" x14ac:dyDescent="0.2">
      <c r="J162" s="23"/>
      <c r="K162" s="23"/>
      <c r="L162" s="23"/>
    </row>
    <row r="163" spans="10:12" s="59" customFormat="1" hidden="1" x14ac:dyDescent="0.2">
      <c r="J163" s="23"/>
      <c r="K163" s="23"/>
      <c r="L163" s="23"/>
    </row>
    <row r="164" spans="10:12" s="59" customFormat="1" hidden="1" x14ac:dyDescent="0.2">
      <c r="J164" s="23"/>
      <c r="K164" s="23"/>
      <c r="L164" s="23"/>
    </row>
    <row r="165" spans="10:12" s="59" customFormat="1" hidden="1" x14ac:dyDescent="0.2">
      <c r="J165" s="23"/>
      <c r="K165" s="23"/>
      <c r="L165" s="23"/>
    </row>
    <row r="166" spans="10:12" s="59" customFormat="1" hidden="1" x14ac:dyDescent="0.2">
      <c r="J166" s="23"/>
      <c r="K166" s="23"/>
      <c r="L166" s="23"/>
    </row>
    <row r="167" spans="10:12" s="59" customFormat="1" hidden="1" x14ac:dyDescent="0.2">
      <c r="J167" s="23"/>
      <c r="K167" s="23"/>
      <c r="L167" s="23"/>
    </row>
    <row r="168" spans="10:12" s="59" customFormat="1" hidden="1" x14ac:dyDescent="0.2">
      <c r="J168" s="23"/>
      <c r="K168" s="23"/>
      <c r="L168" s="23"/>
    </row>
    <row r="169" spans="10:12" s="59" customFormat="1" hidden="1" x14ac:dyDescent="0.2">
      <c r="J169" s="23"/>
      <c r="K169" s="23"/>
      <c r="L169" s="23"/>
    </row>
    <row r="170" spans="10:12" s="59" customFormat="1" hidden="1" x14ac:dyDescent="0.2">
      <c r="J170" s="23"/>
      <c r="K170" s="23"/>
      <c r="L170" s="23"/>
    </row>
    <row r="171" spans="10:12" s="59" customFormat="1" hidden="1" x14ac:dyDescent="0.2">
      <c r="J171" s="23"/>
      <c r="K171" s="23"/>
      <c r="L171" s="23"/>
    </row>
    <row r="172" spans="10:12" s="59" customFormat="1" hidden="1" x14ac:dyDescent="0.2">
      <c r="J172" s="23"/>
      <c r="K172" s="23"/>
      <c r="L172" s="23"/>
    </row>
    <row r="173" spans="10:12" s="59" customFormat="1" hidden="1" x14ac:dyDescent="0.2">
      <c r="J173" s="23"/>
      <c r="K173" s="23"/>
      <c r="L173" s="23"/>
    </row>
    <row r="174" spans="10:12" s="59" customFormat="1" hidden="1" x14ac:dyDescent="0.2">
      <c r="J174" s="23"/>
      <c r="K174" s="23"/>
      <c r="L174" s="23"/>
    </row>
    <row r="175" spans="10:12" s="59" customFormat="1" hidden="1" x14ac:dyDescent="0.2">
      <c r="J175" s="23"/>
      <c r="K175" s="23"/>
      <c r="L175" s="23"/>
    </row>
    <row r="176" spans="10:12" s="59" customFormat="1" hidden="1" x14ac:dyDescent="0.2">
      <c r="J176" s="23"/>
      <c r="K176" s="23"/>
      <c r="L176" s="23"/>
    </row>
    <row r="177" spans="10:12" s="59" customFormat="1" hidden="1" x14ac:dyDescent="0.2">
      <c r="J177" s="23"/>
      <c r="K177" s="23"/>
      <c r="L177" s="23"/>
    </row>
    <row r="178" spans="10:12" s="59" customFormat="1" hidden="1" x14ac:dyDescent="0.2">
      <c r="J178" s="23"/>
      <c r="K178" s="23"/>
      <c r="L178" s="23"/>
    </row>
    <row r="179" spans="10:12" s="59" customFormat="1" hidden="1" x14ac:dyDescent="0.2">
      <c r="J179" s="23"/>
      <c r="K179" s="23"/>
      <c r="L179" s="23"/>
    </row>
    <row r="180" spans="10:12" s="59" customFormat="1" hidden="1" x14ac:dyDescent="0.2">
      <c r="J180" s="23"/>
      <c r="K180" s="23"/>
      <c r="L180" s="23"/>
    </row>
    <row r="181" spans="10:12" s="59" customFormat="1" hidden="1" x14ac:dyDescent="0.2">
      <c r="J181" s="23"/>
      <c r="K181" s="23"/>
      <c r="L181" s="23"/>
    </row>
    <row r="182" spans="10:12" s="59" customFormat="1" hidden="1" x14ac:dyDescent="0.2">
      <c r="J182" s="23"/>
      <c r="K182" s="23"/>
      <c r="L182" s="23"/>
    </row>
    <row r="183" spans="10:12" s="59" customFormat="1" hidden="1" x14ac:dyDescent="0.2">
      <c r="J183" s="23"/>
      <c r="K183" s="23"/>
      <c r="L183" s="23"/>
    </row>
    <row r="184" spans="10:12" s="59" customFormat="1" hidden="1" x14ac:dyDescent="0.2">
      <c r="J184" s="23"/>
      <c r="K184" s="23"/>
      <c r="L184" s="23"/>
    </row>
    <row r="185" spans="10:12" s="59" customFormat="1" hidden="1" x14ac:dyDescent="0.2">
      <c r="J185" s="23"/>
      <c r="K185" s="23"/>
      <c r="L185" s="23"/>
    </row>
    <row r="186" spans="10:12" s="59" customFormat="1" hidden="1" x14ac:dyDescent="0.2">
      <c r="J186" s="23"/>
      <c r="K186" s="23"/>
      <c r="L186" s="23"/>
    </row>
    <row r="187" spans="10:12" s="59" customFormat="1" hidden="1" x14ac:dyDescent="0.2">
      <c r="J187" s="23"/>
      <c r="K187" s="23"/>
      <c r="L187" s="23"/>
    </row>
    <row r="188" spans="10:12" s="59" customFormat="1" hidden="1" x14ac:dyDescent="0.2">
      <c r="J188" s="23"/>
      <c r="K188" s="23"/>
      <c r="L188" s="23"/>
    </row>
    <row r="189" spans="10:12" s="59" customFormat="1" hidden="1" x14ac:dyDescent="0.2">
      <c r="J189" s="23"/>
      <c r="K189" s="23"/>
      <c r="L189" s="23"/>
    </row>
    <row r="190" spans="10:12" s="59" customFormat="1" hidden="1" x14ac:dyDescent="0.2">
      <c r="J190" s="23"/>
      <c r="K190" s="23"/>
      <c r="L190" s="23"/>
    </row>
    <row r="191" spans="10:12" s="59" customFormat="1" hidden="1" x14ac:dyDescent="0.2">
      <c r="J191" s="23"/>
      <c r="K191" s="23"/>
      <c r="L191" s="23"/>
    </row>
    <row r="192" spans="10:12" s="59" customFormat="1" hidden="1" x14ac:dyDescent="0.2">
      <c r="J192" s="23"/>
      <c r="K192" s="23"/>
      <c r="L192" s="23"/>
    </row>
    <row r="193" spans="10:12" s="59" customFormat="1" hidden="1" x14ac:dyDescent="0.2">
      <c r="J193" s="23"/>
      <c r="K193" s="23"/>
      <c r="L193" s="23"/>
    </row>
    <row r="194" spans="10:12" s="59" customFormat="1" hidden="1" x14ac:dyDescent="0.2">
      <c r="J194" s="23"/>
      <c r="K194" s="23"/>
      <c r="L194" s="23"/>
    </row>
    <row r="195" spans="10:12" s="59" customFormat="1" hidden="1" x14ac:dyDescent="0.2">
      <c r="J195" s="23"/>
      <c r="K195" s="23"/>
      <c r="L195" s="23"/>
    </row>
    <row r="196" spans="10:12" s="59" customFormat="1" hidden="1" x14ac:dyDescent="0.2">
      <c r="J196" s="23"/>
      <c r="K196" s="23"/>
      <c r="L196" s="23"/>
    </row>
    <row r="197" spans="10:12" s="59" customFormat="1" hidden="1" x14ac:dyDescent="0.2">
      <c r="J197" s="23"/>
      <c r="K197" s="23"/>
      <c r="L197" s="23"/>
    </row>
    <row r="198" spans="10:12" s="59" customFormat="1" hidden="1" x14ac:dyDescent="0.2">
      <c r="J198" s="23"/>
      <c r="K198" s="23"/>
      <c r="L198" s="23"/>
    </row>
    <row r="199" spans="10:12" s="59" customFormat="1" hidden="1" x14ac:dyDescent="0.2">
      <c r="J199" s="23"/>
      <c r="K199" s="23"/>
      <c r="L199" s="23"/>
    </row>
    <row r="200" spans="10:12" s="59" customFormat="1" hidden="1" x14ac:dyDescent="0.2">
      <c r="J200" s="23"/>
      <c r="K200" s="23"/>
      <c r="L200" s="23"/>
    </row>
    <row r="201" spans="10:12" s="59" customFormat="1" hidden="1" x14ac:dyDescent="0.2">
      <c r="J201" s="23"/>
      <c r="K201" s="23"/>
      <c r="L201" s="23"/>
    </row>
    <row r="202" spans="10:12" s="59" customFormat="1" hidden="1" x14ac:dyDescent="0.2">
      <c r="J202" s="23"/>
      <c r="K202" s="23"/>
      <c r="L202" s="23"/>
    </row>
    <row r="203" spans="10:12" s="59" customFormat="1" hidden="1" x14ac:dyDescent="0.2">
      <c r="J203" s="23"/>
      <c r="K203" s="23"/>
      <c r="L203" s="23"/>
    </row>
    <row r="204" spans="10:12" s="59" customFormat="1" hidden="1" x14ac:dyDescent="0.2">
      <c r="J204" s="23"/>
      <c r="K204" s="23"/>
      <c r="L204" s="23"/>
    </row>
    <row r="205" spans="10:12" s="59" customFormat="1" hidden="1" x14ac:dyDescent="0.2">
      <c r="J205" s="23"/>
      <c r="K205" s="23"/>
      <c r="L205" s="23"/>
    </row>
    <row r="206" spans="10:12" s="59" customFormat="1" hidden="1" x14ac:dyDescent="0.2">
      <c r="J206" s="23"/>
      <c r="K206" s="23"/>
      <c r="L206" s="23"/>
    </row>
    <row r="207" spans="10:12" s="59" customFormat="1" hidden="1" x14ac:dyDescent="0.2">
      <c r="J207" s="23"/>
      <c r="K207" s="23"/>
      <c r="L207" s="23"/>
    </row>
    <row r="208" spans="10:12" s="59" customFormat="1" hidden="1" x14ac:dyDescent="0.2">
      <c r="J208" s="23"/>
      <c r="K208" s="23"/>
      <c r="L208" s="23"/>
    </row>
    <row r="209" spans="10:12" s="59" customFormat="1" hidden="1" x14ac:dyDescent="0.2">
      <c r="J209" s="23"/>
      <c r="K209" s="23"/>
      <c r="L209" s="23"/>
    </row>
    <row r="210" spans="10:12" s="59" customFormat="1" hidden="1" x14ac:dyDescent="0.2">
      <c r="J210" s="23"/>
      <c r="K210" s="23"/>
      <c r="L210" s="23"/>
    </row>
    <row r="211" spans="10:12" s="59" customFormat="1" hidden="1" x14ac:dyDescent="0.2">
      <c r="J211" s="23"/>
      <c r="K211" s="23"/>
      <c r="L211" s="23"/>
    </row>
    <row r="212" spans="10:12" s="59" customFormat="1" hidden="1" x14ac:dyDescent="0.2">
      <c r="J212" s="23"/>
      <c r="K212" s="23"/>
      <c r="L212" s="23"/>
    </row>
    <row r="213" spans="10:12" s="59" customFormat="1" hidden="1" x14ac:dyDescent="0.2">
      <c r="J213" s="23"/>
      <c r="K213" s="23"/>
      <c r="L213" s="23"/>
    </row>
    <row r="214" spans="10:12" s="59" customFormat="1" hidden="1" x14ac:dyDescent="0.2">
      <c r="J214" s="23"/>
      <c r="K214" s="23"/>
      <c r="L214" s="23"/>
    </row>
    <row r="215" spans="10:12" s="59" customFormat="1" hidden="1" x14ac:dyDescent="0.2">
      <c r="J215" s="23"/>
      <c r="K215" s="23"/>
      <c r="L215" s="23"/>
    </row>
    <row r="216" spans="10:12" s="59" customFormat="1" hidden="1" x14ac:dyDescent="0.2">
      <c r="J216" s="23"/>
      <c r="K216" s="23"/>
      <c r="L216" s="23"/>
    </row>
    <row r="217" spans="10:12" s="59" customFormat="1" hidden="1" x14ac:dyDescent="0.2">
      <c r="J217" s="23"/>
      <c r="K217" s="23"/>
      <c r="L217" s="23"/>
    </row>
    <row r="218" spans="10:12" s="59" customFormat="1" hidden="1" x14ac:dyDescent="0.2">
      <c r="J218" s="23"/>
      <c r="K218" s="23"/>
      <c r="L218" s="23"/>
    </row>
    <row r="219" spans="10:12" s="59" customFormat="1" hidden="1" x14ac:dyDescent="0.2">
      <c r="J219" s="23"/>
      <c r="K219" s="23"/>
      <c r="L219" s="23"/>
    </row>
    <row r="220" spans="10:12" s="59" customFormat="1" hidden="1" x14ac:dyDescent="0.2">
      <c r="J220" s="23"/>
      <c r="K220" s="23"/>
      <c r="L220" s="23"/>
    </row>
    <row r="221" spans="10:12" s="59" customFormat="1" hidden="1" x14ac:dyDescent="0.2">
      <c r="J221" s="23"/>
      <c r="K221" s="23"/>
      <c r="L221" s="23"/>
    </row>
    <row r="222" spans="10:12" s="59" customFormat="1" hidden="1" x14ac:dyDescent="0.2">
      <c r="J222" s="23"/>
      <c r="K222" s="23"/>
      <c r="L222" s="23"/>
    </row>
    <row r="223" spans="10:12" s="59" customFormat="1" hidden="1" x14ac:dyDescent="0.2">
      <c r="J223" s="23"/>
      <c r="K223" s="23"/>
      <c r="L223" s="23"/>
    </row>
    <row r="224" spans="10:12" s="59" customFormat="1" hidden="1" x14ac:dyDescent="0.2">
      <c r="J224" s="23"/>
      <c r="K224" s="23"/>
      <c r="L224" s="23"/>
    </row>
    <row r="225" spans="10:12" s="59" customFormat="1" hidden="1" x14ac:dyDescent="0.2">
      <c r="J225" s="23"/>
      <c r="K225" s="23"/>
      <c r="L225" s="23"/>
    </row>
    <row r="226" spans="10:12" s="59" customFormat="1" hidden="1" x14ac:dyDescent="0.2">
      <c r="J226" s="23"/>
      <c r="K226" s="23"/>
      <c r="L226" s="23"/>
    </row>
    <row r="227" spans="10:12" s="59" customFormat="1" hidden="1" x14ac:dyDescent="0.2">
      <c r="J227" s="23"/>
      <c r="K227" s="23"/>
      <c r="L227" s="23"/>
    </row>
    <row r="228" spans="10:12" s="59" customFormat="1" hidden="1" x14ac:dyDescent="0.2">
      <c r="J228" s="23"/>
      <c r="K228" s="23"/>
      <c r="L228" s="23"/>
    </row>
    <row r="229" spans="10:12" s="59" customFormat="1" hidden="1" x14ac:dyDescent="0.2">
      <c r="J229" s="23"/>
      <c r="K229" s="23"/>
      <c r="L229" s="23"/>
    </row>
    <row r="230" spans="10:12" s="59" customFormat="1" hidden="1" x14ac:dyDescent="0.2">
      <c r="J230" s="23"/>
      <c r="K230" s="23"/>
      <c r="L230" s="23"/>
    </row>
    <row r="231" spans="10:12" s="59" customFormat="1" hidden="1" x14ac:dyDescent="0.2">
      <c r="J231" s="23"/>
      <c r="K231" s="23"/>
      <c r="L231" s="23"/>
    </row>
    <row r="232" spans="10:12" s="59" customFormat="1" hidden="1" x14ac:dyDescent="0.2">
      <c r="J232" s="23"/>
      <c r="K232" s="23"/>
      <c r="L232" s="23"/>
    </row>
    <row r="233" spans="10:12" s="59" customFormat="1" hidden="1" x14ac:dyDescent="0.2">
      <c r="J233" s="23"/>
      <c r="K233" s="23"/>
      <c r="L233" s="23"/>
    </row>
    <row r="234" spans="10:12" s="59" customFormat="1" hidden="1" x14ac:dyDescent="0.2">
      <c r="J234" s="23"/>
      <c r="K234" s="23"/>
      <c r="L234" s="23"/>
    </row>
    <row r="235" spans="10:12" s="59" customFormat="1" hidden="1" x14ac:dyDescent="0.2">
      <c r="J235" s="23"/>
      <c r="K235" s="23"/>
      <c r="L235" s="23"/>
    </row>
    <row r="236" spans="10:12" s="59" customFormat="1" hidden="1" x14ac:dyDescent="0.2">
      <c r="J236" s="23"/>
      <c r="K236" s="23"/>
      <c r="L236" s="23"/>
    </row>
    <row r="237" spans="10:12" s="59" customFormat="1" hidden="1" x14ac:dyDescent="0.2">
      <c r="J237" s="23"/>
      <c r="K237" s="23"/>
      <c r="L237" s="23"/>
    </row>
    <row r="238" spans="10:12" s="59" customFormat="1" hidden="1" x14ac:dyDescent="0.2">
      <c r="J238" s="23"/>
      <c r="K238" s="23"/>
      <c r="L238" s="23"/>
    </row>
    <row r="239" spans="10:12" s="59" customFormat="1" hidden="1" x14ac:dyDescent="0.2">
      <c r="J239" s="23"/>
      <c r="K239" s="23"/>
      <c r="L239" s="23"/>
    </row>
    <row r="240" spans="10:12" s="59" customFormat="1" hidden="1" x14ac:dyDescent="0.2">
      <c r="J240" s="23"/>
      <c r="K240" s="23"/>
      <c r="L240" s="23"/>
    </row>
    <row r="241" spans="10:12" s="59" customFormat="1" hidden="1" x14ac:dyDescent="0.2">
      <c r="J241" s="23"/>
      <c r="K241" s="23"/>
      <c r="L241" s="23"/>
    </row>
    <row r="242" spans="10:12" s="59" customFormat="1" hidden="1" x14ac:dyDescent="0.2">
      <c r="J242" s="23"/>
      <c r="K242" s="23"/>
      <c r="L242" s="23"/>
    </row>
    <row r="243" spans="10:12" s="59" customFormat="1" hidden="1" x14ac:dyDescent="0.2">
      <c r="J243" s="23"/>
      <c r="K243" s="23"/>
      <c r="L243" s="23"/>
    </row>
    <row r="244" spans="10:12" s="59" customFormat="1" hidden="1" x14ac:dyDescent="0.2">
      <c r="J244" s="23"/>
      <c r="K244" s="23"/>
      <c r="L244" s="23"/>
    </row>
    <row r="245" spans="10:12" s="59" customFormat="1" hidden="1" x14ac:dyDescent="0.2">
      <c r="J245" s="23"/>
      <c r="K245" s="23"/>
      <c r="L245" s="23"/>
    </row>
    <row r="246" spans="10:12" s="59" customFormat="1" hidden="1" x14ac:dyDescent="0.2">
      <c r="J246" s="23"/>
      <c r="K246" s="23"/>
      <c r="L246" s="23"/>
    </row>
    <row r="247" spans="10:12" ht="12" customHeight="1" x14ac:dyDescent="0.2"/>
  </sheetData>
  <mergeCells count="46">
    <mergeCell ref="B6:D6"/>
    <mergeCell ref="F6:H6"/>
    <mergeCell ref="B7:D7"/>
    <mergeCell ref="F7:H7"/>
    <mergeCell ref="C8:D8"/>
    <mergeCell ref="G8:H8"/>
    <mergeCell ref="B52:H53"/>
    <mergeCell ref="C9:D9"/>
    <mergeCell ref="G9:H9"/>
    <mergeCell ref="C10:D10"/>
    <mergeCell ref="G10:H10"/>
    <mergeCell ref="B11:H12"/>
    <mergeCell ref="B26:H27"/>
    <mergeCell ref="B43:D43"/>
    <mergeCell ref="B44:D44"/>
    <mergeCell ref="B45:D45"/>
    <mergeCell ref="B46:D46"/>
    <mergeCell ref="E44:H45"/>
    <mergeCell ref="B71:H71"/>
    <mergeCell ref="C57:D57"/>
    <mergeCell ref="C59:D59"/>
    <mergeCell ref="C58:D58"/>
    <mergeCell ref="C61:D61"/>
    <mergeCell ref="C55:D55"/>
    <mergeCell ref="B56:H56"/>
    <mergeCell ref="C60:D60"/>
    <mergeCell ref="C64:D64"/>
    <mergeCell ref="C65:D65"/>
    <mergeCell ref="C63:D63"/>
    <mergeCell ref="C62:D62"/>
    <mergeCell ref="C72:D72"/>
    <mergeCell ref="B66:H66"/>
    <mergeCell ref="C67:D67"/>
    <mergeCell ref="C68:D68"/>
    <mergeCell ref="B86:D86"/>
    <mergeCell ref="B76:I77"/>
    <mergeCell ref="C78:H78"/>
    <mergeCell ref="C80:H80"/>
    <mergeCell ref="C81:H81"/>
    <mergeCell ref="B83:D83"/>
    <mergeCell ref="B84:D84"/>
    <mergeCell ref="E84:H85"/>
    <mergeCell ref="B85:D85"/>
    <mergeCell ref="C79:H79"/>
    <mergeCell ref="C69:D69"/>
    <mergeCell ref="C70:D70"/>
  </mergeCells>
  <hyperlinks>
    <hyperlink ref="B46" r:id="rId1" display="juan.zambrano@wavin.com" xr:uid="{D4A871EB-11EB-4D18-B880-1260E5EDF712}"/>
    <hyperlink ref="B86" r:id="rId2" display="juan.zambrano@wavin.com" xr:uid="{E5E4E8CE-0EA0-47E9-BE67-255CD8156705}"/>
  </hyperlinks>
  <pageMargins left="0.25" right="0.25" top="0.75" bottom="0.75" header="0.3" footer="0.3"/>
  <pageSetup scale="89" fitToHeight="0" orientation="portrait" r:id="rId3"/>
  <rowBreaks count="1" manualBreakCount="1">
    <brk id="46" max="8"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F417A-ECC5-41BC-8922-FF6AE7156FE3}">
  <sheetPr codeName="Hoja24">
    <pageSetUpPr autoPageBreaks="0"/>
  </sheetPr>
  <dimension ref="A1:S55"/>
  <sheetViews>
    <sheetView showGridLines="0" showRowColHeaders="0" zoomScale="80" zoomScaleNormal="80" workbookViewId="0">
      <selection sqref="A1:E6"/>
    </sheetView>
  </sheetViews>
  <sheetFormatPr baseColWidth="10" defaultColWidth="0" defaultRowHeight="15" zeroHeight="1" x14ac:dyDescent="0.25"/>
  <cols>
    <col min="1" max="17" width="11.42578125" style="120" customWidth="1"/>
    <col min="18" max="18" width="15.85546875" style="120" customWidth="1"/>
    <col min="19" max="21" width="11.42578125" style="120" hidden="1" customWidth="1"/>
    <col min="22" max="16384" width="11.42578125" style="120" hidden="1"/>
  </cols>
  <sheetData>
    <row r="1" spans="1:19" ht="15" customHeight="1" x14ac:dyDescent="0.95">
      <c r="A1" s="299" t="s">
        <v>3044</v>
      </c>
      <c r="B1" s="299"/>
      <c r="C1" s="299"/>
      <c r="D1" s="299"/>
      <c r="E1" s="299"/>
      <c r="F1" s="128"/>
      <c r="G1" s="128"/>
      <c r="H1" s="128"/>
      <c r="I1" s="128"/>
      <c r="J1" s="128"/>
      <c r="K1" s="128"/>
      <c r="L1" s="128"/>
      <c r="M1" s="128"/>
      <c r="N1" s="128"/>
      <c r="O1" s="128"/>
      <c r="P1" s="310" t="s">
        <v>1</v>
      </c>
      <c r="Q1" s="310"/>
      <c r="R1" s="310"/>
      <c r="S1" s="121"/>
    </row>
    <row r="2" spans="1:19" ht="15" customHeight="1" x14ac:dyDescent="0.95">
      <c r="A2" s="299"/>
      <c r="B2" s="299"/>
      <c r="C2" s="299"/>
      <c r="D2" s="299"/>
      <c r="E2" s="299"/>
      <c r="F2" s="128"/>
      <c r="G2" s="128"/>
      <c r="H2" s="128"/>
      <c r="I2" s="128"/>
      <c r="J2" s="128"/>
      <c r="K2" s="128"/>
      <c r="L2" s="128"/>
      <c r="M2" s="128"/>
      <c r="N2" s="128"/>
      <c r="O2" s="147"/>
      <c r="P2" s="310"/>
      <c r="Q2" s="310"/>
      <c r="R2" s="310"/>
      <c r="S2" s="121"/>
    </row>
    <row r="3" spans="1:19" ht="15" customHeight="1" x14ac:dyDescent="0.95">
      <c r="A3" s="299"/>
      <c r="B3" s="299"/>
      <c r="C3" s="299"/>
      <c r="D3" s="299"/>
      <c r="E3" s="299"/>
      <c r="F3" s="128"/>
      <c r="G3" s="128"/>
      <c r="H3" s="128"/>
      <c r="I3" s="128"/>
      <c r="J3" s="128"/>
      <c r="K3" s="128"/>
      <c r="L3" s="128"/>
      <c r="M3" s="128"/>
      <c r="N3" s="128"/>
      <c r="O3" s="147"/>
      <c r="P3" s="310"/>
      <c r="Q3" s="310"/>
      <c r="R3" s="310"/>
      <c r="S3" s="121"/>
    </row>
    <row r="4" spans="1:19" ht="15" customHeight="1" x14ac:dyDescent="0.95">
      <c r="A4" s="299"/>
      <c r="B4" s="299"/>
      <c r="C4" s="299"/>
      <c r="D4" s="299"/>
      <c r="E4" s="299"/>
      <c r="F4" s="99"/>
      <c r="G4" s="99"/>
      <c r="H4" s="99"/>
      <c r="I4" s="99"/>
      <c r="J4" s="99"/>
      <c r="K4" s="99"/>
      <c r="L4" s="99"/>
      <c r="M4" s="99"/>
      <c r="N4" s="99"/>
      <c r="O4" s="148"/>
      <c r="P4" s="310"/>
      <c r="Q4" s="310"/>
      <c r="R4" s="310"/>
      <c r="S4" s="121"/>
    </row>
    <row r="5" spans="1:19" ht="15" customHeight="1" x14ac:dyDescent="0.95">
      <c r="A5" s="299"/>
      <c r="B5" s="299"/>
      <c r="C5" s="299"/>
      <c r="D5" s="299"/>
      <c r="E5" s="299"/>
      <c r="F5" s="99"/>
      <c r="G5" s="99"/>
      <c r="H5" s="99"/>
      <c r="I5" s="99"/>
      <c r="J5" s="99"/>
      <c r="K5" s="99"/>
      <c r="L5" s="99"/>
      <c r="M5" s="99"/>
      <c r="N5" s="99"/>
      <c r="O5" s="148"/>
      <c r="P5" s="310"/>
      <c r="Q5" s="310"/>
      <c r="R5" s="310"/>
      <c r="S5" s="121"/>
    </row>
    <row r="6" spans="1:19" ht="15" customHeight="1" x14ac:dyDescent="0.95">
      <c r="A6" s="299"/>
      <c r="B6" s="299"/>
      <c r="C6" s="299"/>
      <c r="D6" s="299"/>
      <c r="E6" s="299"/>
      <c r="F6" s="99"/>
      <c r="G6" s="99"/>
      <c r="H6" s="99"/>
      <c r="I6" s="99"/>
      <c r="J6" s="99"/>
      <c r="K6" s="99"/>
      <c r="L6" s="99"/>
      <c r="M6" s="99"/>
      <c r="N6" s="99"/>
      <c r="O6" s="148"/>
      <c r="P6" s="310"/>
      <c r="Q6" s="310"/>
      <c r="R6" s="310"/>
      <c r="S6" s="121"/>
    </row>
    <row r="7" spans="1:19" ht="15" customHeight="1" x14ac:dyDescent="0.95">
      <c r="A7" s="299" t="s">
        <v>63</v>
      </c>
      <c r="B7" s="299"/>
      <c r="C7" s="299"/>
      <c r="D7" s="299"/>
      <c r="E7" s="299"/>
      <c r="F7" s="99"/>
      <c r="G7" s="99"/>
      <c r="H7" s="99"/>
      <c r="I7" s="99"/>
      <c r="J7" s="99"/>
      <c r="K7" s="99"/>
      <c r="L7" s="99"/>
      <c r="M7" s="99"/>
      <c r="N7" s="99"/>
      <c r="O7" s="148"/>
      <c r="P7" s="310"/>
      <c r="Q7" s="310"/>
      <c r="R7" s="310"/>
      <c r="S7" s="121"/>
    </row>
    <row r="8" spans="1:19" ht="15" customHeight="1" x14ac:dyDescent="0.95">
      <c r="A8" s="299"/>
      <c r="B8" s="299"/>
      <c r="C8" s="299"/>
      <c r="D8" s="299"/>
      <c r="E8" s="299"/>
      <c r="F8" s="99"/>
      <c r="G8" s="99"/>
      <c r="H8" s="99"/>
      <c r="I8" s="99"/>
      <c r="J8" s="99"/>
      <c r="K8" s="99"/>
      <c r="L8" s="99"/>
      <c r="M8" s="99"/>
      <c r="N8" s="99"/>
      <c r="O8" s="148"/>
      <c r="P8" s="310"/>
      <c r="Q8" s="310"/>
      <c r="R8" s="310"/>
      <c r="S8" s="121"/>
    </row>
    <row r="9" spans="1:19" ht="15" customHeight="1" x14ac:dyDescent="0.95">
      <c r="A9" s="299"/>
      <c r="B9" s="299"/>
      <c r="C9" s="299"/>
      <c r="D9" s="299"/>
      <c r="E9" s="299"/>
      <c r="F9" s="214"/>
      <c r="G9" s="214"/>
      <c r="H9" s="214"/>
      <c r="I9" s="248"/>
      <c r="J9" s="248"/>
      <c r="K9" s="248"/>
      <c r="L9" s="214"/>
      <c r="M9" s="214"/>
      <c r="N9" s="214"/>
      <c r="O9" s="214"/>
      <c r="P9" s="310"/>
      <c r="Q9" s="310"/>
      <c r="R9" s="310"/>
      <c r="S9" s="121"/>
    </row>
    <row r="10" spans="1:19" ht="15" customHeight="1" x14ac:dyDescent="0.95">
      <c r="A10" s="299"/>
      <c r="B10" s="299"/>
      <c r="C10" s="299"/>
      <c r="D10" s="299"/>
      <c r="E10" s="299"/>
      <c r="F10" s="214"/>
      <c r="G10" s="214"/>
      <c r="H10" s="214"/>
      <c r="I10" s="248"/>
      <c r="J10" s="248"/>
      <c r="K10" s="248"/>
      <c r="L10" s="214"/>
      <c r="M10" s="214"/>
      <c r="N10" s="214"/>
      <c r="O10" s="214"/>
      <c r="P10" s="310"/>
      <c r="Q10" s="310"/>
      <c r="R10" s="310"/>
      <c r="S10" s="121"/>
    </row>
    <row r="11" spans="1:19" ht="15" customHeight="1" x14ac:dyDescent="0.25">
      <c r="A11" s="299"/>
      <c r="B11" s="299"/>
      <c r="C11" s="299"/>
      <c r="D11" s="299"/>
      <c r="E11" s="299"/>
      <c r="F11" s="214"/>
      <c r="G11" s="214"/>
      <c r="H11" s="214"/>
      <c r="I11" s="248"/>
      <c r="J11" s="248"/>
      <c r="K11" s="248"/>
      <c r="L11" s="214"/>
      <c r="M11" s="214"/>
      <c r="N11" s="214"/>
      <c r="O11" s="214"/>
      <c r="P11" s="310"/>
      <c r="Q11" s="310"/>
      <c r="R11" s="310"/>
    </row>
    <row r="12" spans="1:19" ht="15" customHeight="1" x14ac:dyDescent="0.25">
      <c r="A12" s="299"/>
      <c r="B12" s="299"/>
      <c r="C12" s="299"/>
      <c r="D12" s="299"/>
      <c r="E12" s="299"/>
      <c r="F12" s="214"/>
      <c r="G12" s="214"/>
      <c r="H12" s="214"/>
      <c r="I12" s="248"/>
      <c r="J12" s="248"/>
      <c r="K12" s="248"/>
      <c r="L12" s="214"/>
      <c r="M12" s="214"/>
      <c r="N12" s="214"/>
      <c r="O12" s="214"/>
      <c r="P12" s="310"/>
      <c r="Q12" s="310"/>
      <c r="R12" s="310"/>
    </row>
    <row r="13" spans="1:19" ht="15" customHeight="1" x14ac:dyDescent="0.25">
      <c r="A13" s="299" t="s">
        <v>3045</v>
      </c>
      <c r="B13" s="299"/>
      <c r="C13" s="299"/>
      <c r="D13" s="299"/>
      <c r="E13" s="299"/>
      <c r="F13" s="214"/>
      <c r="G13" s="214"/>
      <c r="H13" s="214"/>
      <c r="I13" s="248"/>
      <c r="J13" s="248"/>
      <c r="K13" s="248"/>
      <c r="L13" s="214"/>
      <c r="M13" s="214"/>
      <c r="N13" s="214"/>
      <c r="O13" s="214"/>
      <c r="P13" s="310"/>
      <c r="Q13" s="310"/>
      <c r="R13" s="310"/>
    </row>
    <row r="14" spans="1:19" ht="15" customHeight="1" x14ac:dyDescent="0.25">
      <c r="A14" s="299"/>
      <c r="B14" s="299"/>
      <c r="C14" s="299"/>
      <c r="D14" s="299"/>
      <c r="E14" s="299"/>
      <c r="F14" s="214"/>
      <c r="G14" s="214"/>
      <c r="H14" s="214"/>
      <c r="I14" s="248"/>
      <c r="J14" s="248"/>
      <c r="K14" s="248"/>
      <c r="L14" s="214"/>
      <c r="M14" s="214"/>
      <c r="N14" s="214"/>
      <c r="O14" s="214"/>
      <c r="P14" s="310"/>
      <c r="Q14" s="310"/>
      <c r="R14" s="310"/>
    </row>
    <row r="15" spans="1:19" ht="15" customHeight="1" x14ac:dyDescent="0.25">
      <c r="A15" s="299"/>
      <c r="B15" s="299"/>
      <c r="C15" s="299"/>
      <c r="D15" s="299"/>
      <c r="E15" s="299"/>
      <c r="F15" s="217"/>
      <c r="G15" s="217"/>
      <c r="H15" s="217"/>
      <c r="I15" s="217"/>
      <c r="J15" s="217"/>
      <c r="K15" s="217"/>
      <c r="L15" s="217"/>
      <c r="M15" s="217"/>
      <c r="N15" s="217"/>
      <c r="O15" s="217"/>
      <c r="P15" s="310"/>
      <c r="Q15" s="310"/>
      <c r="R15" s="310"/>
    </row>
    <row r="16" spans="1:19" ht="15" customHeight="1" x14ac:dyDescent="0.25">
      <c r="A16" s="299"/>
      <c r="B16" s="299"/>
      <c r="C16" s="299"/>
      <c r="D16" s="299"/>
      <c r="E16" s="299"/>
      <c r="F16" s="247"/>
      <c r="G16" s="247"/>
      <c r="H16" s="247"/>
      <c r="I16" s="247"/>
      <c r="J16" s="247"/>
      <c r="K16" s="247"/>
      <c r="L16" s="247"/>
      <c r="M16" s="247"/>
      <c r="N16" s="247"/>
      <c r="O16" s="247"/>
      <c r="P16" s="310"/>
      <c r="Q16" s="310"/>
      <c r="R16" s="310"/>
    </row>
    <row r="17" spans="1:18" ht="15" customHeight="1" x14ac:dyDescent="0.25">
      <c r="A17" s="299"/>
      <c r="B17" s="299"/>
      <c r="C17" s="299"/>
      <c r="D17" s="299"/>
      <c r="E17" s="299"/>
      <c r="F17" s="247"/>
      <c r="G17" s="247"/>
      <c r="H17" s="247"/>
      <c r="I17" s="247"/>
      <c r="J17" s="247"/>
      <c r="K17" s="247"/>
      <c r="L17" s="247"/>
      <c r="M17" s="247"/>
      <c r="N17" s="247"/>
      <c r="O17" s="247"/>
      <c r="P17" s="310"/>
      <c r="Q17" s="310"/>
      <c r="R17" s="310"/>
    </row>
    <row r="18" spans="1:18" ht="15" customHeight="1" x14ac:dyDescent="0.25">
      <c r="A18" s="299"/>
      <c r="B18" s="299"/>
      <c r="C18" s="299"/>
      <c r="D18" s="299"/>
      <c r="E18" s="299"/>
      <c r="F18" s="247"/>
      <c r="G18" s="247"/>
      <c r="H18" s="247"/>
      <c r="I18" s="247"/>
      <c r="J18" s="247"/>
      <c r="K18" s="247"/>
      <c r="L18" s="247"/>
      <c r="M18" s="247"/>
      <c r="N18" s="247"/>
      <c r="O18" s="247"/>
      <c r="P18" s="310"/>
      <c r="Q18" s="310"/>
      <c r="R18" s="310"/>
    </row>
    <row r="19" spans="1:18" ht="15" customHeight="1" x14ac:dyDescent="0.25">
      <c r="A19" s="299" t="s">
        <v>2</v>
      </c>
      <c r="B19" s="299"/>
      <c r="C19" s="299"/>
      <c r="D19" s="299"/>
      <c r="E19" s="299"/>
      <c r="F19" s="128"/>
      <c r="G19" s="128"/>
      <c r="H19" s="128"/>
      <c r="I19" s="128"/>
      <c r="J19" s="128"/>
      <c r="K19" s="128"/>
      <c r="L19" s="128"/>
      <c r="M19" s="128"/>
      <c r="N19" s="128"/>
      <c r="O19" s="147"/>
      <c r="P19" s="310"/>
      <c r="Q19" s="310"/>
      <c r="R19" s="310"/>
    </row>
    <row r="20" spans="1:18" ht="15" customHeight="1" x14ac:dyDescent="0.25">
      <c r="A20" s="299"/>
      <c r="B20" s="299"/>
      <c r="C20" s="299"/>
      <c r="D20" s="299"/>
      <c r="E20" s="299"/>
      <c r="F20" s="128"/>
      <c r="G20" s="128"/>
      <c r="H20" s="128"/>
      <c r="I20" s="128"/>
      <c r="J20" s="128"/>
      <c r="K20" s="128"/>
      <c r="L20" s="128"/>
      <c r="M20" s="128"/>
      <c r="N20" s="128"/>
      <c r="O20" s="147"/>
      <c r="P20" s="310"/>
      <c r="Q20" s="310"/>
      <c r="R20" s="310"/>
    </row>
    <row r="21" spans="1:18" ht="15" customHeight="1" x14ac:dyDescent="0.25">
      <c r="A21" s="299"/>
      <c r="B21" s="299"/>
      <c r="C21" s="299"/>
      <c r="D21" s="299"/>
      <c r="E21" s="299"/>
      <c r="F21" s="128"/>
      <c r="G21" s="128"/>
      <c r="H21" s="128"/>
      <c r="I21" s="128"/>
      <c r="J21" s="128"/>
      <c r="K21" s="128"/>
      <c r="L21" s="128"/>
      <c r="M21" s="128"/>
      <c r="N21" s="128"/>
      <c r="O21" s="147"/>
      <c r="P21" s="310"/>
      <c r="Q21" s="310"/>
      <c r="R21" s="310"/>
    </row>
    <row r="22" spans="1:18" ht="15" customHeight="1" x14ac:dyDescent="0.25">
      <c r="A22" s="299"/>
      <c r="B22" s="299"/>
      <c r="C22" s="299"/>
      <c r="D22" s="299"/>
      <c r="E22" s="299"/>
      <c r="F22" s="214"/>
      <c r="G22" s="214"/>
      <c r="H22" s="214"/>
      <c r="I22" s="248"/>
      <c r="J22" s="248"/>
      <c r="K22" s="248"/>
      <c r="L22" s="214"/>
      <c r="M22" s="214"/>
      <c r="N22" s="214"/>
      <c r="O22" s="214"/>
      <c r="P22" s="310"/>
      <c r="Q22" s="310"/>
      <c r="R22" s="310"/>
    </row>
    <row r="23" spans="1:18" ht="15" customHeight="1" x14ac:dyDescent="0.25">
      <c r="A23" s="408"/>
      <c r="B23" s="408"/>
      <c r="C23" s="408"/>
      <c r="D23" s="408"/>
      <c r="E23" s="408"/>
      <c r="F23" s="214"/>
      <c r="G23" s="214"/>
      <c r="H23" s="214"/>
      <c r="I23" s="248"/>
      <c r="J23" s="248"/>
      <c r="K23" s="248"/>
      <c r="L23" s="214"/>
      <c r="M23" s="214"/>
      <c r="N23" s="214"/>
      <c r="O23" s="214"/>
      <c r="P23" s="146"/>
      <c r="Q23" s="146"/>
      <c r="R23" s="146"/>
    </row>
    <row r="24" spans="1:18" ht="15" customHeight="1" x14ac:dyDescent="0.25">
      <c r="A24" s="408"/>
      <c r="B24" s="408"/>
      <c r="C24" s="408"/>
      <c r="D24" s="408"/>
      <c r="E24" s="408"/>
      <c r="F24" s="214"/>
      <c r="G24" s="214"/>
      <c r="H24" s="214"/>
      <c r="I24" s="248"/>
      <c r="J24" s="248"/>
      <c r="K24" s="248"/>
      <c r="L24" s="214"/>
      <c r="M24" s="214"/>
      <c r="N24" s="214"/>
      <c r="O24" s="214"/>
    </row>
    <row r="25" spans="1:18" ht="15" customHeight="1" x14ac:dyDescent="0.25">
      <c r="A25" s="408"/>
      <c r="B25" s="408"/>
      <c r="C25" s="408"/>
      <c r="D25" s="408"/>
      <c r="E25" s="408"/>
      <c r="F25" s="248"/>
      <c r="G25" s="248"/>
      <c r="H25" s="248"/>
      <c r="I25" s="248"/>
      <c r="J25" s="248"/>
      <c r="K25" s="248"/>
      <c r="L25" s="214"/>
      <c r="M25" s="214"/>
      <c r="N25" s="214"/>
      <c r="O25" s="214"/>
    </row>
    <row r="26" spans="1:18" ht="15" customHeight="1" x14ac:dyDescent="0.25">
      <c r="A26" s="408"/>
      <c r="B26" s="408"/>
      <c r="C26" s="408"/>
      <c r="D26" s="408"/>
      <c r="E26" s="408"/>
      <c r="F26" s="217"/>
      <c r="G26" s="217"/>
      <c r="H26" s="217"/>
      <c r="I26" s="217"/>
      <c r="J26" s="217"/>
      <c r="K26" s="217"/>
      <c r="L26" s="217"/>
      <c r="M26" s="217"/>
      <c r="N26" s="217"/>
      <c r="O26" s="217"/>
    </row>
    <row r="27" spans="1:18" ht="15" customHeight="1" x14ac:dyDescent="0.25">
      <c r="A27" s="408"/>
      <c r="B27" s="408"/>
      <c r="C27" s="408"/>
      <c r="D27" s="408"/>
      <c r="E27" s="408"/>
      <c r="F27" s="247"/>
      <c r="G27" s="247"/>
      <c r="H27" s="247"/>
      <c r="I27" s="247"/>
      <c r="J27" s="247"/>
      <c r="K27" s="247"/>
      <c r="L27" s="247"/>
      <c r="M27" s="247"/>
      <c r="N27" s="247"/>
      <c r="O27" s="247"/>
    </row>
    <row r="28" spans="1:18" ht="15" customHeight="1" x14ac:dyDescent="0.25">
      <c r="A28" s="408"/>
      <c r="B28" s="408"/>
      <c r="C28" s="408"/>
      <c r="D28" s="408"/>
      <c r="E28" s="408"/>
      <c r="F28" s="247"/>
      <c r="G28" s="247"/>
      <c r="H28" s="247"/>
      <c r="I28" s="247"/>
      <c r="J28" s="249"/>
      <c r="K28" s="247"/>
      <c r="L28" s="247"/>
      <c r="M28" s="247"/>
      <c r="N28" s="247"/>
      <c r="O28" s="247"/>
    </row>
    <row r="29" spans="1:18" ht="15" customHeight="1" x14ac:dyDescent="0.25">
      <c r="F29" s="421" t="s">
        <v>3046</v>
      </c>
      <c r="G29" s="421"/>
      <c r="H29" s="421"/>
      <c r="I29" s="421"/>
      <c r="J29" s="484"/>
      <c r="K29" s="421" t="s">
        <v>3047</v>
      </c>
      <c r="L29" s="421"/>
      <c r="M29" s="421"/>
      <c r="N29" s="421"/>
      <c r="O29" s="421"/>
    </row>
    <row r="30" spans="1:18" ht="15" customHeight="1" x14ac:dyDescent="0.25">
      <c r="F30" s="421"/>
      <c r="G30" s="421"/>
      <c r="H30" s="421"/>
      <c r="I30" s="421"/>
      <c r="J30" s="484"/>
      <c r="K30" s="421"/>
      <c r="L30" s="421"/>
      <c r="M30" s="421"/>
      <c r="N30" s="421"/>
      <c r="O30" s="421"/>
    </row>
    <row r="31" spans="1:18" s="128" customFormat="1" ht="15" customHeight="1" x14ac:dyDescent="0.25">
      <c r="A31" s="120"/>
      <c r="B31" s="120"/>
      <c r="C31" s="120"/>
      <c r="D31" s="120"/>
      <c r="E31" s="120"/>
      <c r="F31" s="421"/>
      <c r="G31" s="421"/>
      <c r="H31" s="421"/>
      <c r="I31" s="421"/>
      <c r="J31" s="484"/>
      <c r="K31" s="421"/>
      <c r="L31" s="421"/>
      <c r="M31" s="421"/>
      <c r="N31" s="421"/>
      <c r="O31" s="421"/>
      <c r="P31" s="120"/>
      <c r="Q31" s="120"/>
      <c r="R31" s="120"/>
    </row>
    <row r="32" spans="1:18" s="128" customFormat="1" ht="15" customHeight="1" x14ac:dyDescent="0.25">
      <c r="A32" s="120"/>
      <c r="B32" s="120"/>
      <c r="C32" s="120"/>
      <c r="D32" s="120"/>
      <c r="E32" s="120"/>
      <c r="F32" s="217"/>
      <c r="G32" s="217"/>
      <c r="H32" s="217"/>
      <c r="I32" s="217"/>
      <c r="J32" s="250"/>
      <c r="K32" s="217"/>
      <c r="L32" s="217"/>
      <c r="M32" s="217"/>
      <c r="N32" s="217"/>
      <c r="O32" s="217"/>
      <c r="P32" s="120"/>
      <c r="Q32" s="120"/>
      <c r="R32" s="120"/>
    </row>
    <row r="33" spans="1:18" s="128" customFormat="1" ht="15" customHeight="1" x14ac:dyDescent="0.25">
      <c r="A33" s="120"/>
      <c r="B33" s="120"/>
      <c r="C33" s="120"/>
      <c r="D33" s="120"/>
      <c r="E33" s="120"/>
      <c r="F33" s="247"/>
      <c r="G33" s="247"/>
      <c r="H33" s="247"/>
      <c r="I33" s="247"/>
      <c r="J33" s="249"/>
      <c r="K33" s="247"/>
      <c r="L33" s="247"/>
      <c r="M33" s="247"/>
      <c r="N33" s="247"/>
      <c r="O33" s="247"/>
      <c r="P33" s="120"/>
      <c r="Q33" s="120"/>
      <c r="R33" s="120"/>
    </row>
    <row r="34" spans="1:18" s="128" customFormat="1" ht="15" customHeight="1" x14ac:dyDescent="0.25">
      <c r="A34" s="120"/>
      <c r="B34" s="120"/>
      <c r="C34" s="120"/>
      <c r="D34" s="120"/>
      <c r="E34" s="120"/>
      <c r="F34" s="247"/>
      <c r="G34" s="247"/>
      <c r="H34" s="247"/>
      <c r="I34" s="247"/>
      <c r="J34" s="249"/>
      <c r="K34" s="247"/>
      <c r="L34" s="247"/>
      <c r="M34" s="247"/>
      <c r="N34" s="247"/>
      <c r="O34" s="247"/>
      <c r="P34" s="120"/>
      <c r="Q34" s="120"/>
      <c r="R34" s="120"/>
    </row>
    <row r="35" spans="1:18" s="128" customFormat="1" ht="15" customHeight="1" x14ac:dyDescent="0.25">
      <c r="A35" s="120"/>
      <c r="B35" s="120"/>
      <c r="C35" s="120"/>
      <c r="D35" s="120"/>
      <c r="E35" s="120"/>
      <c r="F35" s="421" t="s">
        <v>3048</v>
      </c>
      <c r="G35" s="421"/>
      <c r="H35" s="421"/>
      <c r="I35" s="421"/>
      <c r="J35" s="484"/>
      <c r="K35" s="483" t="s">
        <v>3049</v>
      </c>
      <c r="L35" s="421"/>
      <c r="M35" s="421"/>
      <c r="N35" s="421"/>
      <c r="O35" s="421"/>
      <c r="P35" s="120"/>
      <c r="Q35" s="120"/>
      <c r="R35" s="120"/>
    </row>
    <row r="36" spans="1:18" s="128" customFormat="1" ht="15" customHeight="1" x14ac:dyDescent="0.25">
      <c r="A36" s="120"/>
      <c r="B36" s="120"/>
      <c r="C36" s="120"/>
      <c r="D36" s="120"/>
      <c r="E36" s="120"/>
      <c r="F36" s="421"/>
      <c r="G36" s="421"/>
      <c r="H36" s="421"/>
      <c r="I36" s="421"/>
      <c r="J36" s="484"/>
      <c r="K36" s="483"/>
      <c r="L36" s="421"/>
      <c r="M36" s="421"/>
      <c r="N36" s="421"/>
      <c r="O36" s="421"/>
      <c r="P36" s="120"/>
      <c r="Q36" s="120"/>
      <c r="R36" s="120"/>
    </row>
    <row r="37" spans="1:18" s="128" customFormat="1" ht="15" customHeight="1" x14ac:dyDescent="0.25">
      <c r="A37" s="120"/>
      <c r="B37" s="120"/>
      <c r="C37" s="120"/>
      <c r="D37" s="120"/>
      <c r="E37" s="120"/>
      <c r="F37" s="421"/>
      <c r="G37" s="421"/>
      <c r="H37" s="421"/>
      <c r="I37" s="421"/>
      <c r="J37" s="484"/>
      <c r="K37" s="483"/>
      <c r="L37" s="421"/>
      <c r="M37" s="421"/>
      <c r="N37" s="421"/>
      <c r="O37" s="421"/>
      <c r="P37" s="120"/>
      <c r="Q37" s="120"/>
      <c r="R37" s="120"/>
    </row>
    <row r="38" spans="1:18" s="128" customFormat="1" ht="15" customHeight="1" x14ac:dyDescent="0.25">
      <c r="A38" s="120"/>
      <c r="B38" s="120"/>
      <c r="C38" s="120"/>
      <c r="D38" s="120"/>
      <c r="E38" s="120"/>
      <c r="F38" s="217"/>
      <c r="G38" s="217"/>
      <c r="H38" s="217"/>
      <c r="I38" s="217"/>
      <c r="J38" s="250"/>
      <c r="K38" s="217"/>
      <c r="L38" s="217"/>
      <c r="M38" s="217"/>
      <c r="N38" s="217"/>
      <c r="O38" s="217"/>
      <c r="P38" s="120"/>
      <c r="Q38" s="120"/>
      <c r="R38" s="120"/>
    </row>
    <row r="39" spans="1:18" s="128" customFormat="1" ht="15" customHeight="1" x14ac:dyDescent="0.25">
      <c r="A39" s="120"/>
      <c r="B39" s="120"/>
      <c r="C39" s="120"/>
      <c r="D39" s="120"/>
      <c r="E39" s="120"/>
      <c r="F39" s="247"/>
      <c r="G39" s="247"/>
      <c r="H39" s="247"/>
      <c r="I39" s="247"/>
      <c r="J39" s="249"/>
      <c r="K39" s="247"/>
      <c r="L39" s="247"/>
      <c r="M39" s="247"/>
      <c r="N39" s="247"/>
      <c r="O39" s="247"/>
      <c r="P39" s="120"/>
      <c r="Q39" s="120"/>
      <c r="R39" s="120"/>
    </row>
    <row r="40" spans="1:18" s="128" customFormat="1" ht="15" customHeight="1" x14ac:dyDescent="0.25">
      <c r="A40" s="120"/>
      <c r="B40" s="120"/>
      <c r="C40" s="120"/>
      <c r="D40" s="120"/>
      <c r="E40" s="120"/>
      <c r="F40" s="247"/>
      <c r="G40" s="247"/>
      <c r="H40" s="247"/>
      <c r="I40" s="247"/>
      <c r="J40" s="249"/>
      <c r="K40" s="247"/>
      <c r="L40" s="247"/>
      <c r="M40" s="247"/>
      <c r="N40" s="247"/>
      <c r="O40" s="247"/>
      <c r="P40" s="120"/>
      <c r="Q40" s="120"/>
      <c r="R40" s="120"/>
    </row>
    <row r="41" spans="1:18" s="128" customFormat="1" ht="15" customHeight="1" x14ac:dyDescent="0.25">
      <c r="A41" s="120"/>
      <c r="B41" s="120"/>
      <c r="C41" s="120"/>
      <c r="D41" s="120"/>
      <c r="E41" s="120"/>
      <c r="F41" s="483" t="s">
        <v>3062</v>
      </c>
      <c r="G41" s="421"/>
      <c r="H41" s="421"/>
      <c r="I41" s="421"/>
      <c r="J41" s="421"/>
      <c r="K41" s="483" t="s">
        <v>3052</v>
      </c>
      <c r="L41" s="421"/>
      <c r="M41" s="421"/>
      <c r="N41" s="421"/>
      <c r="O41" s="421"/>
      <c r="P41" s="120"/>
      <c r="Q41" s="120"/>
      <c r="R41" s="120"/>
    </row>
    <row r="42" spans="1:18" s="128" customFormat="1" ht="15" customHeight="1" x14ac:dyDescent="0.25">
      <c r="A42" s="120"/>
      <c r="B42" s="120"/>
      <c r="C42" s="120"/>
      <c r="D42" s="120"/>
      <c r="E42" s="120"/>
      <c r="F42" s="483"/>
      <c r="G42" s="421"/>
      <c r="H42" s="421"/>
      <c r="I42" s="421"/>
      <c r="J42" s="421"/>
      <c r="K42" s="483"/>
      <c r="L42" s="421"/>
      <c r="M42" s="421"/>
      <c r="N42" s="421"/>
      <c r="O42" s="421"/>
      <c r="P42" s="120"/>
      <c r="Q42" s="120"/>
      <c r="R42" s="120"/>
    </row>
    <row r="43" spans="1:18" s="128" customFormat="1" ht="15" customHeight="1" x14ac:dyDescent="0.25">
      <c r="A43" s="120"/>
      <c r="B43" s="120"/>
      <c r="C43" s="120"/>
      <c r="D43" s="120"/>
      <c r="E43" s="120"/>
      <c r="F43" s="483"/>
      <c r="G43" s="421"/>
      <c r="H43" s="421"/>
      <c r="I43" s="421"/>
      <c r="J43" s="421"/>
      <c r="K43" s="483"/>
      <c r="L43" s="421"/>
      <c r="M43" s="421"/>
      <c r="N43" s="421"/>
      <c r="O43" s="421"/>
      <c r="P43" s="120"/>
      <c r="Q43" s="120"/>
      <c r="R43" s="120"/>
    </row>
    <row r="44" spans="1:18" ht="15" customHeight="1" x14ac:dyDescent="0.25">
      <c r="F44" s="217"/>
      <c r="G44" s="217"/>
      <c r="H44" s="217"/>
      <c r="I44" s="217"/>
      <c r="J44" s="250"/>
      <c r="K44" s="217"/>
      <c r="L44" s="217"/>
      <c r="M44" s="217"/>
      <c r="N44" s="217"/>
      <c r="O44" s="217"/>
    </row>
    <row r="45" spans="1:18" ht="15" customHeight="1" x14ac:dyDescent="0.25">
      <c r="F45" s="247"/>
      <c r="G45" s="247"/>
      <c r="H45" s="247"/>
      <c r="I45" s="247"/>
      <c r="J45" s="249"/>
      <c r="K45" s="247"/>
      <c r="L45" s="247"/>
      <c r="M45" s="247"/>
      <c r="N45" s="247"/>
      <c r="O45" s="247"/>
    </row>
    <row r="46" spans="1:18" ht="15" customHeight="1" x14ac:dyDescent="0.25">
      <c r="F46" s="247"/>
      <c r="G46" s="247"/>
      <c r="H46" s="247"/>
      <c r="I46" s="247"/>
      <c r="J46" s="249"/>
      <c r="K46" s="247"/>
      <c r="L46" s="247"/>
      <c r="M46" s="247"/>
      <c r="N46" s="247"/>
      <c r="O46" s="247"/>
    </row>
    <row r="47" spans="1:18" ht="15" customHeight="1" x14ac:dyDescent="0.25">
      <c r="F47" s="421" t="s">
        <v>3050</v>
      </c>
      <c r="G47" s="421"/>
      <c r="H47" s="421"/>
      <c r="I47" s="421"/>
      <c r="J47" s="484"/>
      <c r="K47" s="483" t="s">
        <v>3051</v>
      </c>
      <c r="L47" s="421"/>
      <c r="M47" s="421"/>
      <c r="N47" s="421"/>
      <c r="O47" s="421"/>
    </row>
    <row r="48" spans="1:18" ht="15" customHeight="1" x14ac:dyDescent="0.25">
      <c r="F48" s="421"/>
      <c r="G48" s="421"/>
      <c r="H48" s="421"/>
      <c r="I48" s="421"/>
      <c r="J48" s="484"/>
      <c r="K48" s="483"/>
      <c r="L48" s="421"/>
      <c r="M48" s="421"/>
      <c r="N48" s="421"/>
      <c r="O48" s="421"/>
    </row>
    <row r="49" spans="1:18" s="128" customFormat="1" ht="15" customHeight="1" x14ac:dyDescent="0.25">
      <c r="A49" s="120"/>
      <c r="B49" s="120"/>
      <c r="C49" s="120"/>
      <c r="D49" s="120"/>
      <c r="E49" s="120"/>
      <c r="F49" s="421"/>
      <c r="G49" s="421"/>
      <c r="H49" s="421"/>
      <c r="I49" s="421"/>
      <c r="J49" s="484"/>
      <c r="K49" s="483"/>
      <c r="L49" s="421"/>
      <c r="M49" s="421"/>
      <c r="N49" s="421"/>
      <c r="O49" s="421"/>
      <c r="P49" s="120"/>
      <c r="Q49" s="120"/>
      <c r="R49" s="120"/>
    </row>
    <row r="50" spans="1:18" s="128" customFormat="1" ht="15" customHeight="1" x14ac:dyDescent="0.25">
      <c r="A50" s="123"/>
      <c r="B50" s="123"/>
      <c r="C50" s="123"/>
      <c r="D50" s="123"/>
      <c r="E50" s="120"/>
      <c r="F50" s="150"/>
      <c r="G50" s="150"/>
      <c r="H50" s="150"/>
      <c r="I50" s="150"/>
      <c r="J50" s="150"/>
      <c r="K50" s="150"/>
      <c r="L50" s="150"/>
      <c r="M50" s="150"/>
      <c r="N50" s="99"/>
      <c r="O50" s="99"/>
      <c r="P50" s="120"/>
      <c r="Q50" s="120"/>
      <c r="R50" s="120"/>
    </row>
    <row r="51" spans="1:18" s="128" customFormat="1" ht="15" customHeight="1" x14ac:dyDescent="0.25">
      <c r="A51" s="123"/>
      <c r="B51" s="123"/>
      <c r="C51" s="123"/>
      <c r="D51" s="123"/>
      <c r="E51" s="120"/>
      <c r="F51" s="150"/>
      <c r="G51" s="150"/>
      <c r="H51" s="150"/>
      <c r="I51" s="150"/>
      <c r="J51" s="150"/>
      <c r="K51" s="150"/>
      <c r="L51" s="150"/>
      <c r="M51" s="150"/>
      <c r="N51" s="99"/>
      <c r="O51" s="99"/>
      <c r="P51" s="120"/>
      <c r="Q51" s="120"/>
      <c r="R51" s="120"/>
    </row>
    <row r="52" spans="1:18" s="128" customFormat="1" ht="15" customHeight="1" x14ac:dyDescent="0.25">
      <c r="A52" s="123"/>
      <c r="B52" s="123"/>
      <c r="C52" s="123"/>
      <c r="D52" s="123"/>
      <c r="E52" s="120"/>
      <c r="H52" s="131"/>
      <c r="I52" s="131"/>
      <c r="J52" s="131"/>
      <c r="K52" s="131"/>
      <c r="P52" s="120"/>
      <c r="Q52" s="120"/>
      <c r="R52" s="120"/>
    </row>
    <row r="53" spans="1:18" s="128" customFormat="1" ht="15" customHeight="1" x14ac:dyDescent="0.25">
      <c r="A53" s="123"/>
      <c r="B53" s="123"/>
      <c r="C53" s="123"/>
      <c r="D53" s="123"/>
      <c r="E53" s="120"/>
      <c r="H53" s="131"/>
      <c r="I53" s="131"/>
      <c r="J53" s="131"/>
      <c r="K53" s="131"/>
      <c r="P53" s="120"/>
      <c r="Q53" s="120"/>
      <c r="R53" s="120"/>
    </row>
    <row r="54" spans="1:18" ht="15" hidden="1" customHeight="1" x14ac:dyDescent="0.25">
      <c r="A54" s="123"/>
      <c r="B54" s="123"/>
      <c r="C54" s="123"/>
      <c r="D54" s="123"/>
      <c r="H54" s="122"/>
      <c r="I54" s="122"/>
      <c r="J54" s="122"/>
      <c r="K54" s="122"/>
    </row>
    <row r="55" spans="1:18" ht="15" hidden="1" customHeight="1" x14ac:dyDescent="0.25">
      <c r="A55" s="123"/>
      <c r="B55" s="123"/>
      <c r="C55" s="123"/>
      <c r="D55" s="123"/>
      <c r="H55" s="122"/>
      <c r="I55" s="122"/>
      <c r="J55" s="122"/>
      <c r="K55" s="122"/>
    </row>
  </sheetData>
  <sheetProtection algorithmName="SHA-512" hashValue="rqKb9UIcYXzdVICRmDnI+O61SCnismmZ3Ruar133lgRg5+PBh8071j5gVwNR4y22ICik2W3gTMjLW2u9Oky+dQ==" saltValue="NmhKLfpXLkZvui/dRQOcQg==" spinCount="100000" sheet="1" objects="1" scenarios="1" selectLockedCells="1" selectUnlockedCells="1"/>
  <mergeCells count="14">
    <mergeCell ref="P1:R22"/>
    <mergeCell ref="K35:O37"/>
    <mergeCell ref="F41:J43"/>
    <mergeCell ref="K41:O43"/>
    <mergeCell ref="F47:J49"/>
    <mergeCell ref="K47:O49"/>
    <mergeCell ref="F29:J31"/>
    <mergeCell ref="K29:O31"/>
    <mergeCell ref="F35:J37"/>
    <mergeCell ref="A1:E6"/>
    <mergeCell ref="A7:E12"/>
    <mergeCell ref="A13:E18"/>
    <mergeCell ref="A19:E22"/>
    <mergeCell ref="A23:E28"/>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CB0C-C350-4349-A1FD-FD86A47EBEBB}">
  <sheetPr codeName="Hoja21">
    <pageSetUpPr autoPageBreaks="0"/>
  </sheetPr>
  <dimension ref="A1:S57"/>
  <sheetViews>
    <sheetView showGridLines="0" showRowColHeaders="0" zoomScale="80" zoomScaleNormal="80" workbookViewId="0">
      <selection activeCell="Q35" sqref="Q35"/>
    </sheetView>
  </sheetViews>
  <sheetFormatPr baseColWidth="10" defaultColWidth="0" defaultRowHeight="15" customHeight="1" zeroHeight="1" x14ac:dyDescent="0.25"/>
  <cols>
    <col min="1" max="14" width="11.42578125" style="120" customWidth="1"/>
    <col min="15" max="15" width="11.42578125" style="128" customWidth="1"/>
    <col min="16" max="17" width="11.42578125" style="120" customWidth="1"/>
    <col min="18" max="18" width="15.85546875" style="120" customWidth="1"/>
    <col min="19" max="21" width="11.42578125" style="120" hidden="1" customWidth="1"/>
    <col min="22" max="16384" width="11.42578125" style="120" hidden="1"/>
  </cols>
  <sheetData>
    <row r="1" spans="1:19" ht="15" customHeight="1" x14ac:dyDescent="0.95">
      <c r="A1" s="299" t="s">
        <v>173</v>
      </c>
      <c r="B1" s="299"/>
      <c r="C1" s="299"/>
      <c r="D1" s="299"/>
      <c r="E1" s="299"/>
      <c r="F1" s="128"/>
      <c r="G1" s="128"/>
      <c r="H1" s="128"/>
      <c r="I1" s="128"/>
      <c r="J1" s="128"/>
      <c r="K1" s="128"/>
      <c r="L1" s="128"/>
      <c r="M1" s="128"/>
      <c r="N1" s="128"/>
      <c r="P1" s="310" t="s">
        <v>1</v>
      </c>
      <c r="Q1" s="310"/>
      <c r="R1" s="310"/>
      <c r="S1" s="121"/>
    </row>
    <row r="2" spans="1:19" ht="15" customHeight="1" x14ac:dyDescent="0.95">
      <c r="A2" s="299"/>
      <c r="B2" s="299"/>
      <c r="C2" s="299"/>
      <c r="D2" s="299"/>
      <c r="E2" s="299"/>
      <c r="F2" s="128"/>
      <c r="G2" s="128"/>
      <c r="H2" s="128"/>
      <c r="I2" s="128"/>
      <c r="J2" s="128"/>
      <c r="K2" s="128"/>
      <c r="L2" s="128"/>
      <c r="M2" s="128"/>
      <c r="N2" s="128"/>
      <c r="O2" s="147"/>
      <c r="P2" s="310"/>
      <c r="Q2" s="310"/>
      <c r="R2" s="310"/>
      <c r="S2" s="121"/>
    </row>
    <row r="3" spans="1:19" ht="15" customHeight="1" x14ac:dyDescent="0.95">
      <c r="A3" s="299"/>
      <c r="B3" s="299"/>
      <c r="C3" s="299"/>
      <c r="D3" s="299"/>
      <c r="E3" s="299"/>
      <c r="F3" s="128"/>
      <c r="G3" s="128"/>
      <c r="H3" s="128"/>
      <c r="I3" s="128"/>
      <c r="J3" s="128"/>
      <c r="K3" s="128"/>
      <c r="L3" s="128"/>
      <c r="M3" s="128"/>
      <c r="N3" s="128"/>
      <c r="O3" s="147"/>
      <c r="P3" s="310"/>
      <c r="Q3" s="310"/>
      <c r="R3" s="310"/>
      <c r="S3" s="121"/>
    </row>
    <row r="4" spans="1:19" ht="15" customHeight="1" x14ac:dyDescent="0.95">
      <c r="A4" s="299"/>
      <c r="B4" s="299"/>
      <c r="C4" s="299"/>
      <c r="D4" s="299"/>
      <c r="E4" s="299"/>
      <c r="F4" s="99"/>
      <c r="G4" s="99"/>
      <c r="H4" s="99"/>
      <c r="I4" s="99"/>
      <c r="J4" s="99"/>
      <c r="K4" s="99"/>
      <c r="L4" s="99"/>
      <c r="M4" s="99"/>
      <c r="N4" s="99"/>
      <c r="O4" s="148"/>
      <c r="P4" s="310"/>
      <c r="Q4" s="310"/>
      <c r="R4" s="310"/>
      <c r="S4" s="121"/>
    </row>
    <row r="5" spans="1:19" ht="15" customHeight="1" x14ac:dyDescent="0.95">
      <c r="A5" s="299"/>
      <c r="B5" s="299"/>
      <c r="C5" s="299"/>
      <c r="D5" s="299"/>
      <c r="E5" s="299"/>
      <c r="F5" s="99"/>
      <c r="G5" s="99"/>
      <c r="H5" s="99"/>
      <c r="I5" s="99"/>
      <c r="J5" s="99"/>
      <c r="K5" s="99"/>
      <c r="L5" s="99"/>
      <c r="M5" s="99"/>
      <c r="N5" s="99"/>
      <c r="O5" s="148"/>
      <c r="P5" s="310"/>
      <c r="Q5" s="310"/>
      <c r="R5" s="310"/>
      <c r="S5" s="121"/>
    </row>
    <row r="6" spans="1:19" ht="15" customHeight="1" x14ac:dyDescent="0.95">
      <c r="A6" s="299"/>
      <c r="B6" s="299"/>
      <c r="C6" s="299"/>
      <c r="D6" s="299"/>
      <c r="E6" s="299"/>
      <c r="F6" s="99"/>
      <c r="G6" s="99"/>
      <c r="H6" s="99"/>
      <c r="I6" s="99"/>
      <c r="J6" s="99"/>
      <c r="K6" s="99"/>
      <c r="L6" s="99"/>
      <c r="M6" s="99"/>
      <c r="N6" s="99"/>
      <c r="O6" s="148"/>
      <c r="P6" s="310"/>
      <c r="Q6" s="310"/>
      <c r="R6" s="310"/>
      <c r="S6" s="121"/>
    </row>
    <row r="7" spans="1:19" ht="15" customHeight="1" x14ac:dyDescent="0.95">
      <c r="A7" s="299" t="s">
        <v>174</v>
      </c>
      <c r="B7" s="299"/>
      <c r="C7" s="299"/>
      <c r="D7" s="299"/>
      <c r="E7" s="299"/>
      <c r="F7" s="99"/>
      <c r="G7" s="99"/>
      <c r="H7" s="99"/>
      <c r="I7" s="99"/>
      <c r="J7" s="99"/>
      <c r="K7" s="99"/>
      <c r="L7" s="99"/>
      <c r="M7" s="99"/>
      <c r="N7" s="99"/>
      <c r="O7" s="148"/>
      <c r="P7" s="310"/>
      <c r="Q7" s="310"/>
      <c r="R7" s="310"/>
      <c r="S7" s="121"/>
    </row>
    <row r="8" spans="1:19" ht="15" customHeight="1" x14ac:dyDescent="0.95">
      <c r="A8" s="299"/>
      <c r="B8" s="299"/>
      <c r="C8" s="299"/>
      <c r="D8" s="299"/>
      <c r="E8" s="299"/>
      <c r="F8" s="99"/>
      <c r="G8" s="99"/>
      <c r="H8" s="99"/>
      <c r="I8" s="99"/>
      <c r="J8" s="99"/>
      <c r="K8" s="99"/>
      <c r="L8" s="99"/>
      <c r="M8" s="99"/>
      <c r="N8" s="99"/>
      <c r="O8" s="148"/>
      <c r="P8" s="310"/>
      <c r="Q8" s="310"/>
      <c r="R8" s="310"/>
      <c r="S8" s="121"/>
    </row>
    <row r="9" spans="1:19" ht="15" customHeight="1" x14ac:dyDescent="0.95">
      <c r="A9" s="299"/>
      <c r="B9" s="299"/>
      <c r="C9" s="299"/>
      <c r="D9" s="299"/>
      <c r="E9" s="299"/>
      <c r="F9" s="486" t="s">
        <v>3110</v>
      </c>
      <c r="G9" s="486"/>
      <c r="H9" s="486"/>
      <c r="I9" s="486"/>
      <c r="J9" s="486"/>
      <c r="K9" s="486"/>
      <c r="L9" s="486"/>
      <c r="M9" s="486"/>
      <c r="N9" s="486"/>
      <c r="O9" s="486"/>
      <c r="P9" s="310"/>
      <c r="Q9" s="310"/>
      <c r="R9" s="310"/>
      <c r="S9" s="121"/>
    </row>
    <row r="10" spans="1:19" ht="15" customHeight="1" x14ac:dyDescent="0.95">
      <c r="A10" s="299"/>
      <c r="B10" s="299"/>
      <c r="C10" s="299"/>
      <c r="D10" s="299"/>
      <c r="E10" s="299"/>
      <c r="F10" s="486"/>
      <c r="G10" s="486"/>
      <c r="H10" s="486"/>
      <c r="I10" s="486"/>
      <c r="J10" s="486"/>
      <c r="K10" s="486"/>
      <c r="L10" s="486"/>
      <c r="M10" s="486"/>
      <c r="N10" s="486"/>
      <c r="O10" s="486"/>
      <c r="P10" s="310"/>
      <c r="Q10" s="310"/>
      <c r="R10" s="310"/>
      <c r="S10" s="121"/>
    </row>
    <row r="11" spans="1:19" ht="15" customHeight="1" x14ac:dyDescent="0.25">
      <c r="A11" s="299"/>
      <c r="B11" s="299"/>
      <c r="C11" s="299"/>
      <c r="D11" s="299"/>
      <c r="E11" s="299"/>
      <c r="F11" s="486"/>
      <c r="G11" s="486"/>
      <c r="H11" s="486"/>
      <c r="I11" s="486"/>
      <c r="J11" s="486"/>
      <c r="K11" s="486"/>
      <c r="L11" s="486"/>
      <c r="M11" s="486"/>
      <c r="N11" s="486"/>
      <c r="O11" s="486"/>
      <c r="P11" s="310"/>
      <c r="Q11" s="310"/>
      <c r="R11" s="310"/>
    </row>
    <row r="12" spans="1:19" ht="15" customHeight="1" x14ac:dyDescent="0.25">
      <c r="A12" s="299"/>
      <c r="B12" s="299"/>
      <c r="C12" s="299"/>
      <c r="D12" s="299"/>
      <c r="E12" s="299"/>
      <c r="F12" s="486"/>
      <c r="G12" s="486"/>
      <c r="H12" s="486"/>
      <c r="I12" s="486"/>
      <c r="J12" s="486"/>
      <c r="K12" s="486"/>
      <c r="L12" s="486"/>
      <c r="M12" s="486"/>
      <c r="N12" s="486"/>
      <c r="O12" s="486"/>
      <c r="P12" s="310"/>
      <c r="Q12" s="310"/>
      <c r="R12" s="310"/>
    </row>
    <row r="13" spans="1:19" ht="15" customHeight="1" x14ac:dyDescent="0.25">
      <c r="A13" s="299" t="s">
        <v>175</v>
      </c>
      <c r="B13" s="299"/>
      <c r="C13" s="299"/>
      <c r="D13" s="299"/>
      <c r="E13" s="299"/>
      <c r="F13" s="486"/>
      <c r="G13" s="486"/>
      <c r="H13" s="486"/>
      <c r="I13" s="486"/>
      <c r="J13" s="486"/>
      <c r="K13" s="486"/>
      <c r="L13" s="486"/>
      <c r="M13" s="486"/>
      <c r="N13" s="486"/>
      <c r="O13" s="486"/>
      <c r="P13" s="310"/>
      <c r="Q13" s="310"/>
      <c r="R13" s="310"/>
    </row>
    <row r="14" spans="1:19" ht="15" customHeight="1" x14ac:dyDescent="0.25">
      <c r="A14" s="299"/>
      <c r="B14" s="299"/>
      <c r="C14" s="299"/>
      <c r="D14" s="299"/>
      <c r="E14" s="299"/>
      <c r="F14" s="486"/>
      <c r="G14" s="486"/>
      <c r="H14" s="486"/>
      <c r="I14" s="486"/>
      <c r="J14" s="486"/>
      <c r="K14" s="486"/>
      <c r="L14" s="486"/>
      <c r="M14" s="486"/>
      <c r="N14" s="486"/>
      <c r="O14" s="486"/>
      <c r="P14" s="310"/>
      <c r="Q14" s="310"/>
      <c r="R14" s="310"/>
    </row>
    <row r="15" spans="1:19" ht="15" customHeight="1" x14ac:dyDescent="0.25">
      <c r="A15" s="299"/>
      <c r="B15" s="299"/>
      <c r="C15" s="299"/>
      <c r="D15" s="299"/>
      <c r="E15" s="299"/>
      <c r="F15" s="217"/>
      <c r="G15" s="217"/>
      <c r="H15" s="217"/>
      <c r="I15" s="217"/>
      <c r="J15" s="217"/>
      <c r="K15" s="217"/>
      <c r="L15" s="217"/>
      <c r="M15" s="217"/>
      <c r="N15" s="217"/>
      <c r="O15" s="217"/>
      <c r="P15" s="310"/>
      <c r="Q15" s="310"/>
      <c r="R15" s="310"/>
    </row>
    <row r="16" spans="1:19" ht="15" customHeight="1" x14ac:dyDescent="0.25">
      <c r="A16" s="299"/>
      <c r="B16" s="299"/>
      <c r="C16" s="299"/>
      <c r="D16" s="299"/>
      <c r="E16" s="299"/>
      <c r="F16" s="487" t="s">
        <v>176</v>
      </c>
      <c r="G16" s="487"/>
      <c r="H16" s="487"/>
      <c r="I16" s="487"/>
      <c r="J16" s="487"/>
      <c r="K16" s="487"/>
      <c r="L16" s="487"/>
      <c r="M16" s="487"/>
      <c r="N16" s="487"/>
      <c r="O16" s="487"/>
      <c r="P16" s="310"/>
      <c r="Q16" s="310"/>
      <c r="R16" s="310"/>
    </row>
    <row r="17" spans="1:18" ht="15" customHeight="1" x14ac:dyDescent="0.25">
      <c r="A17" s="299"/>
      <c r="B17" s="299"/>
      <c r="C17" s="299"/>
      <c r="D17" s="299"/>
      <c r="E17" s="299"/>
      <c r="F17" s="487"/>
      <c r="G17" s="487"/>
      <c r="H17" s="487"/>
      <c r="I17" s="487"/>
      <c r="J17" s="487"/>
      <c r="K17" s="487"/>
      <c r="L17" s="487"/>
      <c r="M17" s="487"/>
      <c r="N17" s="487"/>
      <c r="O17" s="487"/>
      <c r="P17" s="310"/>
      <c r="Q17" s="310"/>
      <c r="R17" s="310"/>
    </row>
    <row r="18" spans="1:18" ht="15" customHeight="1" x14ac:dyDescent="0.25">
      <c r="A18" s="299"/>
      <c r="B18" s="299"/>
      <c r="C18" s="299"/>
      <c r="D18" s="299"/>
      <c r="E18" s="299"/>
      <c r="F18" s="487"/>
      <c r="G18" s="487"/>
      <c r="H18" s="487"/>
      <c r="I18" s="487"/>
      <c r="J18" s="487"/>
      <c r="K18" s="487"/>
      <c r="L18" s="487"/>
      <c r="M18" s="487"/>
      <c r="N18" s="487"/>
      <c r="O18" s="487"/>
      <c r="P18" s="310"/>
      <c r="Q18" s="310"/>
      <c r="R18" s="310"/>
    </row>
    <row r="19" spans="1:18" ht="15" customHeight="1" x14ac:dyDescent="0.25">
      <c r="A19" s="407"/>
      <c r="B19" s="407"/>
      <c r="C19" s="407"/>
      <c r="D19" s="407"/>
      <c r="E19" s="407"/>
      <c r="F19" s="99"/>
      <c r="G19" s="99"/>
      <c r="H19" s="99"/>
      <c r="I19" s="99"/>
      <c r="J19" s="99"/>
      <c r="K19" s="99"/>
      <c r="L19" s="99"/>
      <c r="M19" s="99"/>
      <c r="N19" s="99"/>
      <c r="O19" s="148"/>
      <c r="P19" s="310"/>
      <c r="Q19" s="310"/>
      <c r="R19" s="310"/>
    </row>
    <row r="20" spans="1:18" ht="15" customHeight="1" x14ac:dyDescent="0.25">
      <c r="A20" s="407"/>
      <c r="B20" s="407"/>
      <c r="C20" s="407"/>
      <c r="D20" s="407"/>
      <c r="E20" s="407"/>
      <c r="F20" s="99"/>
      <c r="G20" s="99"/>
      <c r="H20" s="99"/>
      <c r="I20" s="99"/>
      <c r="J20" s="99"/>
      <c r="K20" s="99"/>
      <c r="L20" s="99"/>
      <c r="M20" s="99"/>
      <c r="N20" s="99"/>
      <c r="O20" s="148"/>
      <c r="P20" s="310"/>
      <c r="Q20" s="310"/>
      <c r="R20" s="310"/>
    </row>
    <row r="21" spans="1:18" ht="15" customHeight="1" x14ac:dyDescent="0.25">
      <c r="A21" s="407"/>
      <c r="B21" s="407"/>
      <c r="C21" s="407"/>
      <c r="D21" s="407"/>
      <c r="E21" s="407"/>
      <c r="F21" s="99"/>
      <c r="G21" s="99"/>
      <c r="H21" s="99"/>
      <c r="I21" s="99"/>
      <c r="J21" s="99"/>
      <c r="K21" s="99"/>
      <c r="L21" s="99"/>
      <c r="M21" s="99"/>
      <c r="N21" s="99"/>
      <c r="O21" s="148"/>
      <c r="P21" s="310"/>
      <c r="Q21" s="310"/>
      <c r="R21" s="310"/>
    </row>
    <row r="22" spans="1:18" ht="15" customHeight="1" x14ac:dyDescent="0.25">
      <c r="A22" s="407"/>
      <c r="B22" s="407"/>
      <c r="C22" s="407"/>
      <c r="D22" s="407"/>
      <c r="E22" s="407"/>
      <c r="F22" s="486" t="s">
        <v>2769</v>
      </c>
      <c r="G22" s="486"/>
      <c r="H22" s="486"/>
      <c r="I22" s="486"/>
      <c r="J22" s="486"/>
      <c r="K22" s="486"/>
      <c r="L22" s="486"/>
      <c r="M22" s="486"/>
      <c r="N22" s="486"/>
      <c r="O22" s="486"/>
      <c r="P22" s="310"/>
      <c r="Q22" s="310"/>
      <c r="R22" s="310"/>
    </row>
    <row r="23" spans="1:18" ht="15" customHeight="1" x14ac:dyDescent="0.25">
      <c r="A23" s="407"/>
      <c r="B23" s="407"/>
      <c r="C23" s="407"/>
      <c r="D23" s="407"/>
      <c r="E23" s="407"/>
      <c r="F23" s="486"/>
      <c r="G23" s="486"/>
      <c r="H23" s="486"/>
      <c r="I23" s="486"/>
      <c r="J23" s="486"/>
      <c r="K23" s="486"/>
      <c r="L23" s="486"/>
      <c r="M23" s="486"/>
      <c r="N23" s="486"/>
      <c r="O23" s="486"/>
      <c r="P23" s="146"/>
      <c r="Q23" s="146"/>
      <c r="R23" s="146"/>
    </row>
    <row r="24" spans="1:18" ht="15" customHeight="1" x14ac:dyDescent="0.25">
      <c r="A24" s="407"/>
      <c r="B24" s="407"/>
      <c r="C24" s="407"/>
      <c r="D24" s="407"/>
      <c r="E24" s="407"/>
      <c r="F24" s="486"/>
      <c r="G24" s="486"/>
      <c r="H24" s="486"/>
      <c r="I24" s="486"/>
      <c r="J24" s="486"/>
      <c r="K24" s="486"/>
      <c r="L24" s="486"/>
      <c r="M24" s="486"/>
      <c r="N24" s="486"/>
      <c r="O24" s="486"/>
      <c r="P24" s="146"/>
      <c r="Q24" s="146"/>
      <c r="R24" s="146"/>
    </row>
    <row r="25" spans="1:18" ht="15" customHeight="1" x14ac:dyDescent="0.25">
      <c r="A25" s="408"/>
      <c r="B25" s="408"/>
      <c r="C25" s="408"/>
      <c r="D25" s="408"/>
      <c r="E25" s="408"/>
      <c r="F25" s="486"/>
      <c r="G25" s="486"/>
      <c r="H25" s="486"/>
      <c r="I25" s="486"/>
      <c r="J25" s="486"/>
      <c r="K25" s="486"/>
      <c r="L25" s="486"/>
      <c r="M25" s="486"/>
      <c r="N25" s="486"/>
      <c r="O25" s="486"/>
      <c r="P25" s="146"/>
      <c r="Q25" s="146"/>
      <c r="R25" s="146"/>
    </row>
    <row r="26" spans="1:18" ht="15" customHeight="1" x14ac:dyDescent="0.25">
      <c r="A26" s="408"/>
      <c r="B26" s="408"/>
      <c r="C26" s="408"/>
      <c r="D26" s="408"/>
      <c r="E26" s="408"/>
      <c r="F26" s="486"/>
      <c r="G26" s="486"/>
      <c r="H26" s="486"/>
      <c r="I26" s="486"/>
      <c r="J26" s="486"/>
      <c r="K26" s="486"/>
      <c r="L26" s="486"/>
      <c r="M26" s="486"/>
      <c r="N26" s="486"/>
      <c r="O26" s="486"/>
    </row>
    <row r="27" spans="1:18" ht="15" customHeight="1" x14ac:dyDescent="0.25">
      <c r="A27" s="408"/>
      <c r="B27" s="408"/>
      <c r="C27" s="408"/>
      <c r="D27" s="408"/>
      <c r="E27" s="408"/>
      <c r="F27" s="486"/>
      <c r="G27" s="486"/>
      <c r="H27" s="486"/>
      <c r="I27" s="486"/>
      <c r="J27" s="486"/>
      <c r="K27" s="486"/>
      <c r="L27" s="486"/>
      <c r="M27" s="486"/>
      <c r="N27" s="486"/>
      <c r="O27" s="486"/>
    </row>
    <row r="28" spans="1:18" ht="15" customHeight="1" x14ac:dyDescent="0.25">
      <c r="A28" s="408"/>
      <c r="B28" s="408"/>
      <c r="C28" s="408"/>
      <c r="D28" s="408"/>
      <c r="E28" s="408"/>
      <c r="F28" s="217"/>
      <c r="G28" s="217"/>
      <c r="H28" s="217"/>
      <c r="I28" s="217"/>
      <c r="J28" s="217"/>
      <c r="K28" s="217"/>
      <c r="L28" s="217"/>
      <c r="M28" s="217"/>
      <c r="N28" s="217"/>
      <c r="O28" s="217"/>
    </row>
    <row r="29" spans="1:18" ht="15" customHeight="1" x14ac:dyDescent="0.25">
      <c r="A29" s="408"/>
      <c r="B29" s="408"/>
      <c r="C29" s="408"/>
      <c r="D29" s="408"/>
      <c r="E29" s="408"/>
      <c r="F29" s="487" t="s">
        <v>177</v>
      </c>
      <c r="G29" s="487"/>
      <c r="H29" s="487"/>
      <c r="I29" s="487"/>
      <c r="J29" s="487"/>
      <c r="K29" s="487"/>
      <c r="L29" s="487"/>
      <c r="M29" s="487"/>
      <c r="N29" s="487"/>
      <c r="O29" s="487"/>
    </row>
    <row r="30" spans="1:18" ht="15" customHeight="1" x14ac:dyDescent="0.25">
      <c r="A30" s="408"/>
      <c r="B30" s="408"/>
      <c r="C30" s="408"/>
      <c r="D30" s="408"/>
      <c r="E30" s="408"/>
      <c r="F30" s="487"/>
      <c r="G30" s="487"/>
      <c r="H30" s="487"/>
      <c r="I30" s="487"/>
      <c r="J30" s="487"/>
      <c r="K30" s="487"/>
      <c r="L30" s="487"/>
      <c r="M30" s="487"/>
      <c r="N30" s="487"/>
      <c r="O30" s="487"/>
    </row>
    <row r="31" spans="1:18" ht="15" customHeight="1" x14ac:dyDescent="0.25">
      <c r="F31" s="487"/>
      <c r="G31" s="487"/>
      <c r="H31" s="487"/>
      <c r="I31" s="487"/>
      <c r="J31" s="487"/>
      <c r="K31" s="487"/>
      <c r="L31" s="487"/>
      <c r="M31" s="487"/>
      <c r="N31" s="487"/>
      <c r="O31" s="487"/>
    </row>
    <row r="32" spans="1:18" ht="15" customHeight="1" x14ac:dyDescent="0.25">
      <c r="F32" s="128"/>
      <c r="G32" s="128"/>
      <c r="H32" s="128"/>
      <c r="I32" s="128"/>
      <c r="J32" s="128"/>
      <c r="K32" s="128"/>
      <c r="L32" s="128"/>
      <c r="M32" s="128"/>
      <c r="N32" s="128"/>
    </row>
    <row r="33" spans="1:18" s="128" customFormat="1" ht="15" customHeight="1" x14ac:dyDescent="0.25">
      <c r="A33" s="120"/>
      <c r="B33" s="120"/>
      <c r="C33" s="120"/>
      <c r="D33" s="120"/>
      <c r="E33" s="120"/>
      <c r="F33" s="99"/>
      <c r="G33" s="99"/>
      <c r="H33" s="99"/>
      <c r="I33" s="99"/>
      <c r="J33" s="99"/>
      <c r="K33" s="99"/>
      <c r="L33" s="99"/>
      <c r="M33" s="99"/>
      <c r="N33" s="99"/>
      <c r="O33" s="148"/>
      <c r="P33" s="120"/>
      <c r="Q33" s="120"/>
      <c r="R33" s="120"/>
    </row>
    <row r="34" spans="1:18" s="128" customFormat="1" ht="15" customHeight="1" x14ac:dyDescent="0.25">
      <c r="A34" s="120"/>
      <c r="B34" s="120"/>
      <c r="C34" s="120"/>
      <c r="D34" s="120"/>
      <c r="E34" s="120"/>
      <c r="F34" s="99"/>
      <c r="G34" s="99"/>
      <c r="H34" s="99"/>
      <c r="I34" s="99"/>
      <c r="J34" s="99"/>
      <c r="K34" s="99"/>
      <c r="L34" s="99"/>
      <c r="M34" s="99"/>
      <c r="N34" s="99"/>
      <c r="O34" s="148"/>
      <c r="P34" s="120"/>
      <c r="Q34" s="120"/>
      <c r="R34" s="120"/>
    </row>
    <row r="35" spans="1:18" s="128" customFormat="1" ht="15" customHeight="1" x14ac:dyDescent="0.25">
      <c r="A35" s="120"/>
      <c r="B35" s="120"/>
      <c r="C35" s="120"/>
      <c r="D35" s="120"/>
      <c r="E35" s="120"/>
      <c r="F35" s="99"/>
      <c r="G35" s="99"/>
      <c r="H35" s="99"/>
      <c r="I35" s="99"/>
      <c r="J35" s="99"/>
      <c r="K35" s="99"/>
      <c r="L35" s="99"/>
      <c r="M35" s="99"/>
      <c r="N35" s="99"/>
      <c r="O35" s="148"/>
      <c r="P35" s="120"/>
      <c r="Q35" s="120"/>
      <c r="R35" s="120"/>
    </row>
    <row r="36" spans="1:18" s="128" customFormat="1" ht="15" customHeight="1" x14ac:dyDescent="0.25">
      <c r="A36" s="120"/>
      <c r="B36" s="120"/>
      <c r="C36" s="120"/>
      <c r="D36" s="120"/>
      <c r="E36" s="120"/>
      <c r="F36" s="485" t="s">
        <v>178</v>
      </c>
      <c r="G36" s="486"/>
      <c r="H36" s="486"/>
      <c r="I36" s="486"/>
      <c r="J36" s="486"/>
      <c r="K36" s="486"/>
      <c r="L36" s="486"/>
      <c r="M36" s="486"/>
      <c r="N36" s="486"/>
      <c r="O36" s="486"/>
      <c r="P36" s="120"/>
      <c r="Q36" s="120"/>
      <c r="R36" s="120"/>
    </row>
    <row r="37" spans="1:18" s="128" customFormat="1" ht="15" customHeight="1" x14ac:dyDescent="0.25">
      <c r="A37" s="120"/>
      <c r="B37" s="120"/>
      <c r="C37" s="120"/>
      <c r="D37" s="120"/>
      <c r="E37" s="120"/>
      <c r="F37" s="486"/>
      <c r="G37" s="486"/>
      <c r="H37" s="486"/>
      <c r="I37" s="486"/>
      <c r="J37" s="486"/>
      <c r="K37" s="486"/>
      <c r="L37" s="486"/>
      <c r="M37" s="486"/>
      <c r="N37" s="486"/>
      <c r="O37" s="486"/>
      <c r="P37" s="120"/>
      <c r="Q37" s="120"/>
      <c r="R37" s="120"/>
    </row>
    <row r="38" spans="1:18" s="128" customFormat="1" ht="15" customHeight="1" x14ac:dyDescent="0.25">
      <c r="A38" s="120"/>
      <c r="B38" s="120"/>
      <c r="C38" s="120"/>
      <c r="D38" s="120"/>
      <c r="E38" s="120"/>
      <c r="F38" s="485" t="s">
        <v>179</v>
      </c>
      <c r="G38" s="486"/>
      <c r="H38" s="486"/>
      <c r="I38" s="486"/>
      <c r="J38" s="486"/>
      <c r="K38" s="486"/>
      <c r="L38" s="486"/>
      <c r="M38" s="486"/>
      <c r="N38" s="486"/>
      <c r="O38" s="486"/>
      <c r="P38" s="120"/>
      <c r="Q38" s="120"/>
      <c r="R38" s="120"/>
    </row>
    <row r="39" spans="1:18" s="128" customFormat="1" ht="15" customHeight="1" x14ac:dyDescent="0.25">
      <c r="A39" s="120"/>
      <c r="B39" s="120"/>
      <c r="C39" s="120"/>
      <c r="D39" s="120"/>
      <c r="E39" s="120"/>
      <c r="F39" s="486"/>
      <c r="G39" s="486"/>
      <c r="H39" s="486"/>
      <c r="I39" s="486"/>
      <c r="J39" s="486"/>
      <c r="K39" s="486"/>
      <c r="L39" s="486"/>
      <c r="M39" s="486"/>
      <c r="N39" s="486"/>
      <c r="O39" s="486"/>
      <c r="P39" s="120"/>
      <c r="Q39" s="120"/>
      <c r="R39" s="120"/>
    </row>
    <row r="40" spans="1:18" s="128" customFormat="1" ht="15" customHeight="1" x14ac:dyDescent="0.25">
      <c r="A40" s="120"/>
      <c r="B40" s="120"/>
      <c r="C40" s="120"/>
      <c r="D40" s="120"/>
      <c r="E40" s="120"/>
      <c r="F40" s="214"/>
      <c r="G40" s="214"/>
      <c r="H40" s="214"/>
      <c r="I40" s="214"/>
      <c r="J40" s="214"/>
      <c r="K40" s="214"/>
      <c r="L40" s="214"/>
      <c r="M40" s="214"/>
      <c r="N40" s="214"/>
      <c r="O40" s="214"/>
      <c r="P40" s="120"/>
      <c r="Q40" s="120"/>
      <c r="R40" s="120"/>
    </row>
    <row r="41" spans="1:18" s="128" customFormat="1" ht="15" customHeight="1" x14ac:dyDescent="0.25">
      <c r="A41" s="120"/>
      <c r="B41" s="120"/>
      <c r="C41" s="120"/>
      <c r="D41" s="120"/>
      <c r="E41" s="120"/>
      <c r="F41" s="214"/>
      <c r="G41" s="214"/>
      <c r="H41" s="214"/>
      <c r="I41" s="214"/>
      <c r="J41" s="214"/>
      <c r="K41" s="214"/>
      <c r="L41" s="214"/>
      <c r="M41" s="214"/>
      <c r="N41" s="214"/>
      <c r="O41" s="214"/>
      <c r="P41" s="120"/>
      <c r="Q41" s="120"/>
      <c r="R41" s="120"/>
    </row>
    <row r="42" spans="1:18" s="128" customFormat="1" ht="15" customHeight="1" x14ac:dyDescent="0.25">
      <c r="A42" s="120"/>
      <c r="B42" s="120"/>
      <c r="C42" s="120"/>
      <c r="D42" s="120"/>
      <c r="E42" s="120"/>
      <c r="F42" s="218"/>
      <c r="G42" s="218"/>
      <c r="H42" s="218"/>
      <c r="I42" s="218"/>
      <c r="J42" s="218"/>
      <c r="K42" s="218"/>
      <c r="L42" s="218"/>
      <c r="M42" s="218"/>
      <c r="N42" s="219"/>
      <c r="O42" s="219"/>
      <c r="P42" s="120"/>
      <c r="Q42" s="120"/>
      <c r="R42" s="120"/>
    </row>
    <row r="43" spans="1:18" s="128" customFormat="1" ht="15" customHeight="1" x14ac:dyDescent="0.25">
      <c r="A43" s="120"/>
      <c r="B43" s="120"/>
      <c r="C43" s="120"/>
      <c r="D43" s="120"/>
      <c r="E43" s="120"/>
      <c r="F43" s="218"/>
      <c r="G43" s="218"/>
      <c r="H43" s="218"/>
      <c r="I43" s="218"/>
      <c r="J43" s="218"/>
      <c r="K43" s="218"/>
      <c r="L43" s="218"/>
      <c r="M43" s="218"/>
      <c r="N43" s="219"/>
      <c r="O43" s="219"/>
      <c r="P43" s="120"/>
      <c r="Q43" s="120"/>
      <c r="R43" s="120"/>
    </row>
    <row r="44" spans="1:18" s="128" customFormat="1" ht="15" customHeight="1" x14ac:dyDescent="0.25">
      <c r="A44" s="120"/>
      <c r="B44" s="120"/>
      <c r="C44" s="120"/>
      <c r="D44" s="120"/>
      <c r="E44" s="120"/>
      <c r="F44" s="218"/>
      <c r="G44" s="218"/>
      <c r="H44" s="218"/>
      <c r="I44" s="218"/>
      <c r="J44" s="218"/>
      <c r="K44" s="218"/>
      <c r="L44" s="218"/>
      <c r="M44" s="218"/>
      <c r="N44" s="219"/>
      <c r="O44" s="219"/>
      <c r="P44" s="120"/>
      <c r="Q44" s="120"/>
      <c r="R44" s="120"/>
    </row>
    <row r="45" spans="1:18" s="128" customFormat="1" ht="15" customHeight="1" x14ac:dyDescent="0.25">
      <c r="A45" s="120"/>
      <c r="B45" s="120"/>
      <c r="C45" s="120"/>
      <c r="D45" s="120"/>
      <c r="E45" s="120"/>
      <c r="F45" s="133"/>
      <c r="G45" s="133"/>
      <c r="H45" s="133"/>
      <c r="I45" s="168"/>
      <c r="J45" s="168"/>
      <c r="K45" s="169"/>
      <c r="L45" s="170"/>
      <c r="M45" s="171"/>
      <c r="N45" s="152"/>
      <c r="P45" s="120"/>
      <c r="Q45" s="120"/>
      <c r="R45" s="120"/>
    </row>
    <row r="46" spans="1:18" ht="15" customHeight="1" x14ac:dyDescent="0.25">
      <c r="F46" s="133"/>
      <c r="G46" s="133"/>
      <c r="H46" s="133"/>
      <c r="I46" s="133"/>
      <c r="J46" s="133"/>
      <c r="K46" s="133"/>
      <c r="L46" s="133"/>
      <c r="M46" s="133"/>
      <c r="N46" s="128"/>
    </row>
    <row r="47" spans="1:18" ht="15" customHeight="1" x14ac:dyDescent="0.25">
      <c r="F47" s="133"/>
      <c r="G47" s="133"/>
      <c r="H47" s="133"/>
      <c r="I47" s="133"/>
      <c r="J47" s="133"/>
      <c r="K47" s="133"/>
      <c r="L47" s="133"/>
      <c r="M47" s="133"/>
      <c r="N47" s="128"/>
    </row>
    <row r="48" spans="1:18" ht="15" customHeight="1" x14ac:dyDescent="0.25">
      <c r="F48" s="133"/>
      <c r="G48" s="133"/>
      <c r="H48" s="133"/>
      <c r="I48" s="133"/>
      <c r="J48" s="133"/>
      <c r="K48" s="133"/>
      <c r="L48" s="133"/>
      <c r="M48" s="133"/>
      <c r="N48" s="128"/>
    </row>
    <row r="49" spans="1:18" ht="15" customHeight="1" x14ac:dyDescent="0.25">
      <c r="F49" s="133"/>
      <c r="G49" s="133"/>
      <c r="H49" s="133"/>
      <c r="I49" s="133"/>
      <c r="J49" s="133"/>
      <c r="K49" s="133"/>
      <c r="L49" s="133"/>
      <c r="M49" s="133"/>
      <c r="N49" s="128"/>
    </row>
    <row r="50" spans="1:18" ht="15" customHeight="1" x14ac:dyDescent="0.25">
      <c r="F50" s="133"/>
      <c r="G50" s="133"/>
      <c r="H50" s="133"/>
      <c r="I50" s="133"/>
      <c r="J50" s="133"/>
      <c r="K50" s="133"/>
      <c r="L50" s="133"/>
      <c r="M50" s="133"/>
      <c r="N50" s="128"/>
    </row>
    <row r="51" spans="1:18" s="128" customFormat="1" ht="15" customHeight="1" x14ac:dyDescent="0.25">
      <c r="A51" s="120"/>
      <c r="B51" s="120"/>
      <c r="C51" s="120"/>
      <c r="D51" s="120"/>
      <c r="E51" s="120"/>
      <c r="F51" s="133"/>
      <c r="G51" s="133"/>
      <c r="H51" s="133"/>
      <c r="I51" s="133"/>
      <c r="J51" s="133"/>
      <c r="K51" s="133"/>
      <c r="L51" s="133"/>
      <c r="M51" s="133"/>
      <c r="P51" s="120"/>
      <c r="Q51" s="120"/>
      <c r="R51" s="120"/>
    </row>
    <row r="52" spans="1:18" s="128" customFormat="1" ht="15" customHeight="1" x14ac:dyDescent="0.25">
      <c r="A52" s="123"/>
      <c r="B52" s="123"/>
      <c r="C52" s="123"/>
      <c r="D52" s="123"/>
      <c r="E52" s="120"/>
      <c r="F52" s="150"/>
      <c r="G52" s="150"/>
      <c r="H52" s="150"/>
      <c r="I52" s="150"/>
      <c r="J52" s="150"/>
      <c r="K52" s="150"/>
      <c r="L52" s="150"/>
      <c r="M52" s="150"/>
      <c r="N52" s="99"/>
      <c r="O52" s="99"/>
      <c r="P52" s="120"/>
      <c r="Q52" s="120"/>
      <c r="R52" s="120"/>
    </row>
    <row r="53" spans="1:18" s="128" customFormat="1" ht="15" customHeight="1" x14ac:dyDescent="0.25">
      <c r="A53" s="123"/>
      <c r="B53" s="123"/>
      <c r="C53" s="123"/>
      <c r="D53" s="123"/>
      <c r="E53" s="120"/>
      <c r="F53" s="150"/>
      <c r="G53" s="150"/>
      <c r="H53" s="150"/>
      <c r="I53" s="150"/>
      <c r="J53" s="150"/>
      <c r="K53" s="150"/>
      <c r="L53" s="150"/>
      <c r="M53" s="150"/>
      <c r="N53" s="99"/>
      <c r="O53" s="99"/>
      <c r="P53" s="120"/>
      <c r="Q53" s="120"/>
      <c r="R53" s="120"/>
    </row>
    <row r="54" spans="1:18" s="128" customFormat="1" ht="15" customHeight="1" x14ac:dyDescent="0.25">
      <c r="A54" s="123"/>
      <c r="B54" s="123"/>
      <c r="C54" s="123"/>
      <c r="D54" s="123"/>
      <c r="E54" s="120"/>
      <c r="H54" s="131"/>
      <c r="I54" s="131"/>
      <c r="J54" s="131"/>
      <c r="K54" s="131"/>
      <c r="P54" s="120"/>
      <c r="Q54" s="120"/>
      <c r="R54" s="120"/>
    </row>
    <row r="55" spans="1:18" s="128" customFormat="1" ht="15" customHeight="1" x14ac:dyDescent="0.25">
      <c r="A55" s="123"/>
      <c r="B55" s="123"/>
      <c r="C55" s="123"/>
      <c r="D55" s="123"/>
      <c r="E55" s="120"/>
      <c r="H55" s="131"/>
      <c r="I55" s="131"/>
      <c r="J55" s="131"/>
      <c r="K55" s="131"/>
      <c r="P55" s="120"/>
      <c r="Q55" s="120"/>
      <c r="R55" s="120"/>
    </row>
    <row r="56" spans="1:18" s="128" customFormat="1" ht="15" hidden="1" customHeight="1" x14ac:dyDescent="0.25">
      <c r="A56" s="123"/>
      <c r="B56" s="123"/>
      <c r="C56" s="123"/>
      <c r="D56" s="123"/>
      <c r="E56" s="120"/>
      <c r="H56" s="131"/>
      <c r="I56" s="131"/>
      <c r="J56" s="131"/>
      <c r="K56" s="131"/>
      <c r="P56" s="120"/>
      <c r="Q56" s="120"/>
      <c r="R56" s="120"/>
    </row>
    <row r="57" spans="1:18" s="128" customFormat="1" ht="15" hidden="1" customHeight="1" x14ac:dyDescent="0.25">
      <c r="A57" s="123"/>
      <c r="B57" s="123"/>
      <c r="C57" s="123"/>
      <c r="D57" s="123"/>
      <c r="E57" s="120"/>
      <c r="F57" s="120"/>
      <c r="G57" s="120"/>
      <c r="H57" s="122"/>
      <c r="I57" s="122"/>
      <c r="J57" s="122"/>
      <c r="K57" s="122"/>
      <c r="L57" s="120"/>
      <c r="M57" s="120"/>
      <c r="N57" s="120"/>
      <c r="P57" s="120"/>
      <c r="Q57" s="120"/>
      <c r="R57" s="120"/>
    </row>
  </sheetData>
  <sheetProtection algorithmName="SHA-512" hashValue="5qy1+mAeC9GoIyvhkLQRL9ySzXh407dYRQMvR/VJ5sRLGBmUzKd4yVsT5k4SuKSU27mKnXx+euQSwSGBwBwb0A==" saltValue="2LzxTMrT77/wcNlogOOisg==" spinCount="100000" sheet="1" objects="1" scenarios="1" selectLockedCells="1" selectUnlockedCells="1"/>
  <mergeCells count="12">
    <mergeCell ref="F36:O37"/>
    <mergeCell ref="F38:O39"/>
    <mergeCell ref="F16:O18"/>
    <mergeCell ref="F22:O27"/>
    <mergeCell ref="F9:O14"/>
    <mergeCell ref="F29:O31"/>
    <mergeCell ref="P1:R22"/>
    <mergeCell ref="A25:E30"/>
    <mergeCell ref="A1:E6"/>
    <mergeCell ref="A7:E12"/>
    <mergeCell ref="A13:E18"/>
    <mergeCell ref="A19:E24"/>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L18"/>
  <sheetViews>
    <sheetView showGridLines="0" showRowColHeaders="0" zoomScale="80" zoomScaleNormal="80" workbookViewId="0">
      <selection activeCell="D17" sqref="D17"/>
    </sheetView>
  </sheetViews>
  <sheetFormatPr baseColWidth="10" defaultColWidth="0" defaultRowHeight="15" zeroHeight="1" x14ac:dyDescent="0.25"/>
  <cols>
    <col min="1" max="1" width="11.42578125" style="99" customWidth="1"/>
    <col min="2" max="2" width="25.7109375" customWidth="1"/>
    <col min="3" max="3" width="27.7109375" customWidth="1"/>
    <col min="4" max="4" width="25.7109375" customWidth="1"/>
    <col min="5" max="5" width="25.85546875" customWidth="1"/>
    <col min="6" max="6" width="11.42578125" style="99" customWidth="1"/>
    <col min="7" max="9" width="21.42578125" style="99" customWidth="1"/>
    <col min="10" max="10" width="34.5703125" style="99" customWidth="1"/>
    <col min="11" max="11" width="38.42578125" style="99" customWidth="1"/>
    <col min="12" max="12" width="11.42578125" style="99" customWidth="1"/>
    <col min="13" max="16384" width="11.42578125" style="99" hidden="1"/>
  </cols>
  <sheetData>
    <row r="1" spans="1:11" x14ac:dyDescent="0.25">
      <c r="B1" s="99"/>
      <c r="C1" s="99"/>
      <c r="D1" s="99"/>
      <c r="E1" s="99"/>
      <c r="I1" s="100" t="s">
        <v>180</v>
      </c>
      <c r="J1" s="100" t="s">
        <v>181</v>
      </c>
      <c r="K1" s="100" t="s">
        <v>182</v>
      </c>
    </row>
    <row r="2" spans="1:11" x14ac:dyDescent="0.25">
      <c r="B2" s="489" t="s">
        <v>183</v>
      </c>
      <c r="C2" s="489"/>
      <c r="D2" s="489"/>
      <c r="E2" s="489"/>
      <c r="G2" s="489" t="s">
        <v>184</v>
      </c>
      <c r="H2" s="489"/>
      <c r="I2" s="489"/>
      <c r="J2" s="489"/>
      <c r="K2" s="489"/>
    </row>
    <row r="3" spans="1:11" ht="30" x14ac:dyDescent="0.25">
      <c r="B3" s="257" t="s">
        <v>185</v>
      </c>
      <c r="C3" s="258" t="s">
        <v>186</v>
      </c>
      <c r="D3" s="258" t="s">
        <v>187</v>
      </c>
      <c r="E3" s="258" t="s">
        <v>188</v>
      </c>
      <c r="G3" s="258" t="s">
        <v>189</v>
      </c>
      <c r="H3" s="258" t="s">
        <v>190</v>
      </c>
      <c r="I3" s="258" t="s">
        <v>180</v>
      </c>
      <c r="J3" s="258" t="s">
        <v>191</v>
      </c>
      <c r="K3" s="258" t="s">
        <v>192</v>
      </c>
    </row>
    <row r="4" spans="1:11" x14ac:dyDescent="0.25">
      <c r="B4" s="488" t="s">
        <v>193</v>
      </c>
      <c r="C4" s="488"/>
      <c r="D4" s="488"/>
      <c r="E4" s="488"/>
      <c r="G4" s="259">
        <v>0</v>
      </c>
      <c r="H4" s="259">
        <v>100</v>
      </c>
      <c r="I4" s="259">
        <v>1.5</v>
      </c>
      <c r="J4" s="259">
        <v>2</v>
      </c>
      <c r="K4" s="259">
        <v>10</v>
      </c>
    </row>
    <row r="5" spans="1:11" ht="30" x14ac:dyDescent="0.25">
      <c r="A5" s="237" t="str">
        <f>+B5</f>
        <v>Grava</v>
      </c>
      <c r="B5" s="259" t="s">
        <v>194</v>
      </c>
      <c r="C5" s="260" t="s">
        <v>195</v>
      </c>
      <c r="D5" s="261">
        <v>2.9999999999999997E-4</v>
      </c>
      <c r="E5" s="261">
        <v>0.03</v>
      </c>
      <c r="G5" s="259">
        <v>100</v>
      </c>
      <c r="H5" s="259">
        <v>1000</v>
      </c>
      <c r="I5" s="259">
        <v>1.5</v>
      </c>
      <c r="J5" s="259">
        <v>3</v>
      </c>
      <c r="K5" s="259">
        <v>10</v>
      </c>
    </row>
    <row r="6" spans="1:11" x14ac:dyDescent="0.25">
      <c r="A6" s="237" t="str">
        <f>+B6</f>
        <v>Arena</v>
      </c>
      <c r="B6" s="259" t="s">
        <v>196</v>
      </c>
      <c r="C6" s="260" t="s">
        <v>197</v>
      </c>
      <c r="D6" s="261">
        <v>1.0000000000000001E-5</v>
      </c>
      <c r="E6" s="261">
        <v>5.0000000000000002E-5</v>
      </c>
      <c r="G6" s="259">
        <v>1000</v>
      </c>
      <c r="H6" s="259">
        <v>100000</v>
      </c>
      <c r="I6" s="259">
        <v>1.5</v>
      </c>
      <c r="J6" s="259">
        <v>5</v>
      </c>
      <c r="K6" s="259">
        <v>10</v>
      </c>
    </row>
    <row r="7" spans="1:11" ht="30" x14ac:dyDescent="0.25">
      <c r="A7" s="237" t="str">
        <f>+B7</f>
        <v>Arena franca</v>
      </c>
      <c r="B7" s="259" t="s">
        <v>198</v>
      </c>
      <c r="C7" s="260" t="s">
        <v>199</v>
      </c>
      <c r="D7" s="261">
        <v>1E-4</v>
      </c>
      <c r="E7" s="261">
        <v>3.0000000000000001E-5</v>
      </c>
    </row>
    <row r="8" spans="1:11" ht="30" x14ac:dyDescent="0.25">
      <c r="A8" s="237" t="str">
        <f>+B8</f>
        <v>Suelo franco-arenoso</v>
      </c>
      <c r="B8" s="259" t="s">
        <v>200</v>
      </c>
      <c r="C8" s="260" t="s">
        <v>201</v>
      </c>
      <c r="D8" s="261">
        <v>9.9999999999999995E-8</v>
      </c>
      <c r="E8" s="261">
        <v>1.0000000000000001E-5</v>
      </c>
    </row>
    <row r="9" spans="1:11" x14ac:dyDescent="0.25">
      <c r="A9" s="237" t="str">
        <f>+B10</f>
        <v>Suelo franco</v>
      </c>
      <c r="B9" s="488" t="s">
        <v>202</v>
      </c>
      <c r="C9" s="488"/>
      <c r="D9" s="488"/>
      <c r="E9" s="488"/>
    </row>
    <row r="10" spans="1:11" x14ac:dyDescent="0.25">
      <c r="A10" s="237" t="str">
        <f>+B11</f>
        <v>Suelo franco-limoso</v>
      </c>
      <c r="B10" s="259" t="s">
        <v>203</v>
      </c>
      <c r="C10" s="260" t="s">
        <v>204</v>
      </c>
      <c r="D10" s="261">
        <v>9.9999999999999995E-8</v>
      </c>
      <c r="E10" s="261">
        <v>5.0000000000000004E-6</v>
      </c>
    </row>
    <row r="11" spans="1:11" x14ac:dyDescent="0.25">
      <c r="A11" s="237" t="str">
        <f>+B12</f>
        <v>Suelo franco-arenoso con contenido de arcillas</v>
      </c>
      <c r="B11" s="259" t="s">
        <v>205</v>
      </c>
      <c r="C11" s="260" t="s">
        <v>206</v>
      </c>
      <c r="D11" s="261">
        <v>1E-8</v>
      </c>
      <c r="E11" s="261">
        <v>9.9999999999999995E-7</v>
      </c>
    </row>
    <row r="12" spans="1:11" ht="30" x14ac:dyDescent="0.25">
      <c r="A12" s="237" t="str">
        <f>+B14</f>
        <v>Suelo franco-arcilloso</v>
      </c>
      <c r="B12" s="260" t="s">
        <v>207</v>
      </c>
      <c r="C12" s="260" t="s">
        <v>208</v>
      </c>
      <c r="D12" s="261">
        <v>3E-10</v>
      </c>
      <c r="E12" s="261">
        <v>2.9999999999999999E-7</v>
      </c>
    </row>
    <row r="13" spans="1:11" x14ac:dyDescent="0.25">
      <c r="A13" s="237" t="str">
        <f>+B15</f>
        <v>Arcilla</v>
      </c>
      <c r="B13" s="488" t="s">
        <v>209</v>
      </c>
      <c r="C13" s="488"/>
      <c r="D13" s="488"/>
      <c r="E13" s="488"/>
    </row>
    <row r="14" spans="1:11" x14ac:dyDescent="0.25">
      <c r="A14" s="237" t="str">
        <f>+B17</f>
        <v>Roca</v>
      </c>
      <c r="B14" s="259" t="s">
        <v>210</v>
      </c>
      <c r="C14" s="260" t="s">
        <v>211</v>
      </c>
      <c r="D14" s="261">
        <v>1.0000000000000001E-9</v>
      </c>
      <c r="E14" s="261">
        <v>9.9999999999999995E-7</v>
      </c>
    </row>
    <row r="15" spans="1:11" x14ac:dyDescent="0.25">
      <c r="B15" s="259" t="s">
        <v>212</v>
      </c>
      <c r="C15" s="260" t="s">
        <v>211</v>
      </c>
      <c r="D15" s="261"/>
      <c r="E15" s="261">
        <v>2.9999999999999997E-8</v>
      </c>
    </row>
    <row r="16" spans="1:11" x14ac:dyDescent="0.25">
      <c r="A16" s="238" t="s">
        <v>156</v>
      </c>
      <c r="B16" s="488" t="s">
        <v>213</v>
      </c>
      <c r="C16" s="488"/>
      <c r="D16" s="488"/>
      <c r="E16" s="488"/>
    </row>
    <row r="17" spans="2:5" ht="30" x14ac:dyDescent="0.25">
      <c r="B17" s="260" t="s">
        <v>214</v>
      </c>
      <c r="C17" s="260" t="s">
        <v>215</v>
      </c>
      <c r="D17" s="261">
        <v>3E-9</v>
      </c>
      <c r="E17" s="261">
        <v>4.0000000000000003E-5</v>
      </c>
    </row>
    <row r="18" spans="2:5" x14ac:dyDescent="0.25">
      <c r="B18" s="99"/>
      <c r="C18" s="99"/>
      <c r="D18" s="239"/>
      <c r="E18" s="99"/>
    </row>
  </sheetData>
  <sheetProtection algorithmName="SHA-512" hashValue="NJr60LcnugY8f/gzTTuqgsZORi6yZBRnQTpLsQUGDmnfdKeDd+E2XixhGsxNWvy7zCRdf3+t/gQOyEQpdHVxxQ==" saltValue="DiGfZjirM5/ofxq6N20imw==" spinCount="100000" sheet="1" objects="1" scenarios="1" selectLockedCells="1"/>
  <mergeCells count="6">
    <mergeCell ref="B16:E16"/>
    <mergeCell ref="B2:E2"/>
    <mergeCell ref="G2:K2"/>
    <mergeCell ref="B4:E4"/>
    <mergeCell ref="B9:E9"/>
    <mergeCell ref="B13:E13"/>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413D4-4749-42B4-9080-FC0378D4C15D}">
  <sheetPr codeName="Hoja25"/>
  <dimension ref="A1:K29"/>
  <sheetViews>
    <sheetView showGridLines="0" showRowColHeaders="0" zoomScale="80" zoomScaleNormal="80" workbookViewId="0">
      <selection activeCell="C7" sqref="C7"/>
    </sheetView>
  </sheetViews>
  <sheetFormatPr baseColWidth="10" defaultColWidth="0" defaultRowHeight="0" customHeight="1" zeroHeight="1" x14ac:dyDescent="0.25"/>
  <cols>
    <col min="1" max="1" width="11.140625" customWidth="1"/>
    <col min="2" max="2" width="27.7109375" customWidth="1"/>
    <col min="3" max="3" width="25.7109375" customWidth="1"/>
    <col min="4" max="4" width="25.85546875" customWidth="1"/>
    <col min="5" max="7" width="11.140625" style="99" customWidth="1"/>
    <col min="8" max="8" width="21.42578125" style="99" customWidth="1"/>
    <col min="9" max="9" width="34.5703125" style="99" hidden="1" customWidth="1"/>
    <col min="10" max="11" width="38.42578125" style="99" hidden="1" customWidth="1"/>
    <col min="12" max="16384" width="11.42578125" style="99" hidden="1"/>
  </cols>
  <sheetData>
    <row r="1" spans="2:10" ht="15" x14ac:dyDescent="0.25">
      <c r="H1" s="100" t="s">
        <v>180</v>
      </c>
      <c r="I1" s="100" t="s">
        <v>181</v>
      </c>
      <c r="J1" s="100" t="s">
        <v>182</v>
      </c>
    </row>
    <row r="2" spans="2:10" ht="15" x14ac:dyDescent="0.25"/>
    <row r="3" spans="2:10" ht="15.75" x14ac:dyDescent="0.25">
      <c r="B3" s="490" t="s">
        <v>3073</v>
      </c>
      <c r="C3" s="490"/>
      <c r="D3" s="490"/>
      <c r="E3" s="490"/>
      <c r="F3" s="490"/>
    </row>
    <row r="4" spans="2:10" ht="15" x14ac:dyDescent="0.25">
      <c r="B4" s="491" t="s">
        <v>3074</v>
      </c>
      <c r="C4" s="492" t="s">
        <v>3075</v>
      </c>
      <c r="D4" s="493"/>
      <c r="E4" s="492" t="s">
        <v>3076</v>
      </c>
      <c r="F4" s="493"/>
    </row>
    <row r="5" spans="2:10" ht="15" x14ac:dyDescent="0.25">
      <c r="B5" s="491"/>
      <c r="C5" s="494" t="s">
        <v>3077</v>
      </c>
      <c r="D5" s="494" t="s">
        <v>3078</v>
      </c>
      <c r="E5" s="494" t="s">
        <v>3077</v>
      </c>
      <c r="F5" s="494" t="s">
        <v>3078</v>
      </c>
    </row>
    <row r="6" spans="2:10" ht="15" x14ac:dyDescent="0.25">
      <c r="B6" s="491"/>
      <c r="C6" s="495"/>
      <c r="D6" s="495"/>
      <c r="E6" s="495"/>
      <c r="F6" s="495"/>
    </row>
    <row r="7" spans="2:10" ht="15" x14ac:dyDescent="0.25">
      <c r="B7" s="262" t="s">
        <v>212</v>
      </c>
      <c r="C7" s="263">
        <v>1600</v>
      </c>
      <c r="D7" s="263">
        <v>2000</v>
      </c>
      <c r="E7" s="264">
        <v>45</v>
      </c>
      <c r="F7" s="264">
        <v>13</v>
      </c>
    </row>
    <row r="8" spans="2:10" ht="15" x14ac:dyDescent="0.25">
      <c r="B8" s="262" t="s">
        <v>3079</v>
      </c>
      <c r="C8" s="263">
        <v>1830</v>
      </c>
      <c r="D8" s="263">
        <v>2170</v>
      </c>
      <c r="E8" s="264">
        <v>22</v>
      </c>
      <c r="F8" s="264">
        <v>16</v>
      </c>
    </row>
    <row r="9" spans="2:10" ht="15" x14ac:dyDescent="0.25">
      <c r="B9" s="262" t="s">
        <v>3080</v>
      </c>
      <c r="C9" s="263">
        <v>1400</v>
      </c>
      <c r="D9" s="263">
        <v>1800</v>
      </c>
      <c r="E9" s="264">
        <v>45</v>
      </c>
      <c r="F9" s="264">
        <v>27</v>
      </c>
    </row>
    <row r="10" spans="2:10" ht="15" x14ac:dyDescent="0.25">
      <c r="B10" s="262" t="s">
        <v>3081</v>
      </c>
      <c r="C10" s="263">
        <v>1400</v>
      </c>
      <c r="D10" s="263">
        <v>1800</v>
      </c>
      <c r="E10" s="264">
        <v>38</v>
      </c>
      <c r="F10" s="264">
        <v>27</v>
      </c>
    </row>
    <row r="11" spans="2:10" ht="15" x14ac:dyDescent="0.25">
      <c r="B11" s="262" t="s">
        <v>194</v>
      </c>
      <c r="C11" s="263">
        <v>1800</v>
      </c>
      <c r="D11" s="263">
        <v>2000</v>
      </c>
      <c r="E11" s="264">
        <v>33</v>
      </c>
      <c r="F11" s="264">
        <v>33</v>
      </c>
    </row>
    <row r="12" spans="2:10" ht="15" x14ac:dyDescent="0.25">
      <c r="B12" s="262" t="s">
        <v>3082</v>
      </c>
      <c r="C12" s="263">
        <v>1500</v>
      </c>
      <c r="D12" s="263">
        <v>1900</v>
      </c>
      <c r="E12" s="264">
        <v>43</v>
      </c>
      <c r="F12" s="264">
        <v>23</v>
      </c>
    </row>
    <row r="13" spans="2:10" ht="15" x14ac:dyDescent="0.25">
      <c r="B13" s="262" t="s">
        <v>3083</v>
      </c>
      <c r="C13" s="263">
        <v>1100</v>
      </c>
      <c r="D13" s="263">
        <v>1400</v>
      </c>
      <c r="E13" s="264">
        <v>26</v>
      </c>
      <c r="F13" s="264">
        <v>22</v>
      </c>
    </row>
    <row r="14" spans="2:10" ht="15" x14ac:dyDescent="0.25">
      <c r="B14" s="262" t="s">
        <v>3084</v>
      </c>
      <c r="C14" s="263">
        <v>1860</v>
      </c>
      <c r="D14" s="263">
        <v>2170</v>
      </c>
      <c r="E14" s="264">
        <v>32</v>
      </c>
      <c r="F14" s="264">
        <v>30</v>
      </c>
    </row>
    <row r="15" spans="2:10" ht="15" x14ac:dyDescent="0.25">
      <c r="B15" s="262" t="s">
        <v>3085</v>
      </c>
      <c r="C15" s="263">
        <v>1600</v>
      </c>
      <c r="D15" s="263">
        <v>2000</v>
      </c>
      <c r="E15" s="264">
        <v>31</v>
      </c>
      <c r="F15" s="264">
        <v>25</v>
      </c>
    </row>
    <row r="16" spans="2:10" ht="15" x14ac:dyDescent="0.25">
      <c r="B16" s="262" t="s">
        <v>3086</v>
      </c>
      <c r="C16" s="263">
        <v>2000</v>
      </c>
      <c r="D16" s="263">
        <v>2250</v>
      </c>
      <c r="E16" s="264">
        <v>33</v>
      </c>
      <c r="F16" s="264">
        <v>33</v>
      </c>
    </row>
    <row r="17" spans="2:6" ht="15" x14ac:dyDescent="0.25">
      <c r="B17" s="262" t="s">
        <v>3087</v>
      </c>
      <c r="C17" s="263">
        <v>2070</v>
      </c>
      <c r="D17" s="263">
        <v>2260</v>
      </c>
      <c r="E17" s="264">
        <v>26</v>
      </c>
      <c r="F17" s="264">
        <v>22</v>
      </c>
    </row>
    <row r="18" spans="2:6" ht="15" x14ac:dyDescent="0.25"/>
    <row r="19" spans="2:6" ht="15" hidden="1" x14ac:dyDescent="0.25"/>
    <row r="20" spans="2:6" ht="15" hidden="1" x14ac:dyDescent="0.25"/>
    <row r="21" spans="2:6" ht="15" hidden="1" x14ac:dyDescent="0.25"/>
    <row r="22" spans="2:6" ht="15" hidden="1" x14ac:dyDescent="0.25"/>
    <row r="23" spans="2:6" ht="15" hidden="1" x14ac:dyDescent="0.25"/>
    <row r="24" spans="2:6" ht="15" hidden="1" x14ac:dyDescent="0.25"/>
    <row r="25" spans="2:6" ht="15" hidden="1" x14ac:dyDescent="0.25"/>
    <row r="26" spans="2:6" ht="15" hidden="1" x14ac:dyDescent="0.25"/>
    <row r="27" spans="2:6" ht="15" hidden="1" x14ac:dyDescent="0.25"/>
    <row r="28" spans="2:6" ht="15" hidden="1" x14ac:dyDescent="0.25"/>
    <row r="29" spans="2:6" ht="15" hidden="1" x14ac:dyDescent="0.25"/>
  </sheetData>
  <sheetProtection algorithmName="SHA-512" hashValue="swJPU+wxTrHAQImKjMvl7Erpzgt/dgJAit7XE0cJOasLNMiccFoSCghTAbxOLxkzSZzB7hjXiSi8Aq+IEaQ4HQ==" saltValue="UbDTxp37t7pHKTKIIzMlSA==" spinCount="100000" sheet="1" objects="1" scenarios="1" selectLockedCells="1"/>
  <mergeCells count="8">
    <mergeCell ref="B3:F3"/>
    <mergeCell ref="B4:B6"/>
    <mergeCell ref="C4:D4"/>
    <mergeCell ref="E4:F4"/>
    <mergeCell ref="C5:C6"/>
    <mergeCell ref="D5:D6"/>
    <mergeCell ref="E5:E6"/>
    <mergeCell ref="F5:F6"/>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0C1A5-1649-48B5-87C2-771548BC1DBD}">
  <sheetPr codeName="Hoja1"/>
  <dimension ref="B2:X35"/>
  <sheetViews>
    <sheetView showRowColHeaders="0" zoomScale="80" zoomScaleNormal="80" workbookViewId="0">
      <selection activeCell="C7" sqref="C7"/>
    </sheetView>
  </sheetViews>
  <sheetFormatPr baseColWidth="10" defaultColWidth="11.5703125" defaultRowHeight="15" x14ac:dyDescent="0.25"/>
  <cols>
    <col min="1" max="1" width="11.5703125" style="99"/>
    <col min="2" max="2" width="14.28515625" style="99" customWidth="1"/>
    <col min="3" max="3" width="19.7109375" style="99" bestFit="1" customWidth="1"/>
    <col min="4" max="16384" width="11.5703125" style="99"/>
  </cols>
  <sheetData>
    <row r="2" spans="2:24" ht="15.75" x14ac:dyDescent="0.25">
      <c r="E2" s="100" t="s">
        <v>180</v>
      </c>
      <c r="I2" s="498" t="s">
        <v>3105</v>
      </c>
      <c r="J2" s="499"/>
      <c r="K2" s="499"/>
      <c r="L2" s="499"/>
      <c r="M2" s="499"/>
      <c r="N2" s="499"/>
      <c r="O2" s="499"/>
      <c r="P2" s="499"/>
      <c r="Q2" s="499"/>
      <c r="R2" s="499"/>
      <c r="S2" s="499"/>
      <c r="T2" s="499"/>
      <c r="U2" s="499"/>
      <c r="V2" s="499"/>
      <c r="W2" s="499"/>
      <c r="X2" s="500"/>
    </row>
    <row r="3" spans="2:24" x14ac:dyDescent="0.25">
      <c r="I3" s="266"/>
      <c r="X3" s="267"/>
    </row>
    <row r="4" spans="2:24" ht="15.75" x14ac:dyDescent="0.25">
      <c r="B4" s="490" t="s">
        <v>3104</v>
      </c>
      <c r="C4" s="490"/>
      <c r="I4" s="266"/>
      <c r="X4" s="267"/>
    </row>
    <row r="5" spans="2:24" ht="14.45" customHeight="1" x14ac:dyDescent="0.25">
      <c r="B5" s="257" t="s">
        <v>3091</v>
      </c>
      <c r="C5" s="268" t="s">
        <v>3103</v>
      </c>
      <c r="I5" s="266"/>
      <c r="X5" s="267"/>
    </row>
    <row r="6" spans="2:24" x14ac:dyDescent="0.25">
      <c r="B6" s="496" t="s">
        <v>3094</v>
      </c>
      <c r="C6" s="497"/>
      <c r="I6" s="266"/>
      <c r="X6" s="267"/>
    </row>
    <row r="7" spans="2:24" x14ac:dyDescent="0.25">
      <c r="B7" s="269" t="s">
        <v>3095</v>
      </c>
      <c r="C7" s="265">
        <v>6000</v>
      </c>
      <c r="I7" s="266"/>
      <c r="X7" s="267"/>
    </row>
    <row r="8" spans="2:24" x14ac:dyDescent="0.25">
      <c r="B8" s="269" t="s">
        <v>3096</v>
      </c>
      <c r="C8" s="265">
        <v>11000</v>
      </c>
      <c r="I8" s="266"/>
      <c r="X8" s="267"/>
    </row>
    <row r="9" spans="2:24" x14ac:dyDescent="0.25">
      <c r="B9" s="496" t="s">
        <v>3092</v>
      </c>
      <c r="C9" s="497">
        <v>1400</v>
      </c>
      <c r="I9" s="266"/>
      <c r="X9" s="267"/>
    </row>
    <row r="10" spans="2:24" x14ac:dyDescent="0.25">
      <c r="B10" s="269" t="s">
        <v>3096</v>
      </c>
      <c r="C10" s="265">
        <v>11000</v>
      </c>
      <c r="I10" s="266"/>
      <c r="X10" s="267"/>
    </row>
    <row r="11" spans="2:24" x14ac:dyDescent="0.25">
      <c r="B11" s="269" t="s">
        <v>3097</v>
      </c>
      <c r="C11" s="265">
        <v>15500</v>
      </c>
      <c r="I11" s="266"/>
      <c r="X11" s="267"/>
    </row>
    <row r="12" spans="2:24" x14ac:dyDescent="0.25">
      <c r="B12" s="269" t="s">
        <v>3098</v>
      </c>
      <c r="C12" s="265">
        <v>20000</v>
      </c>
      <c r="I12" s="266"/>
      <c r="X12" s="267"/>
    </row>
    <row r="13" spans="2:24" x14ac:dyDescent="0.25">
      <c r="B13" s="496" t="s">
        <v>3093</v>
      </c>
      <c r="C13" s="497">
        <v>1860</v>
      </c>
      <c r="I13" s="266"/>
      <c r="X13" s="267"/>
    </row>
    <row r="14" spans="2:24" x14ac:dyDescent="0.25">
      <c r="B14" s="269" t="s">
        <v>3099</v>
      </c>
      <c r="C14" s="265">
        <v>16500</v>
      </c>
      <c r="I14" s="266"/>
      <c r="X14" s="267"/>
    </row>
    <row r="15" spans="2:24" x14ac:dyDescent="0.25">
      <c r="B15" s="269" t="s">
        <v>3100</v>
      </c>
      <c r="C15" s="265">
        <v>19000</v>
      </c>
      <c r="I15" s="266"/>
      <c r="X15" s="267"/>
    </row>
    <row r="16" spans="2:24" x14ac:dyDescent="0.25">
      <c r="B16" s="269" t="s">
        <v>3101</v>
      </c>
      <c r="C16" s="265">
        <v>21500</v>
      </c>
      <c r="I16" s="266"/>
      <c r="X16" s="267"/>
    </row>
    <row r="17" spans="2:24" x14ac:dyDescent="0.25">
      <c r="B17" s="269" t="s">
        <v>3102</v>
      </c>
      <c r="C17" s="265">
        <v>24000</v>
      </c>
      <c r="I17" s="266"/>
      <c r="X17" s="267"/>
    </row>
    <row r="18" spans="2:24" x14ac:dyDescent="0.25">
      <c r="B18" s="270" t="s">
        <v>3106</v>
      </c>
      <c r="I18" s="266"/>
      <c r="X18" s="267"/>
    </row>
    <row r="19" spans="2:24" x14ac:dyDescent="0.25">
      <c r="I19" s="266"/>
      <c r="X19" s="267"/>
    </row>
    <row r="20" spans="2:24" x14ac:dyDescent="0.25">
      <c r="I20" s="266"/>
      <c r="X20" s="267"/>
    </row>
    <row r="21" spans="2:24" x14ac:dyDescent="0.25">
      <c r="I21" s="266"/>
      <c r="X21" s="267"/>
    </row>
    <row r="22" spans="2:24" x14ac:dyDescent="0.25">
      <c r="I22" s="266"/>
      <c r="X22" s="267"/>
    </row>
    <row r="23" spans="2:24" x14ac:dyDescent="0.25">
      <c r="I23" s="266"/>
      <c r="X23" s="267"/>
    </row>
    <row r="24" spans="2:24" x14ac:dyDescent="0.25">
      <c r="I24" s="266"/>
      <c r="X24" s="267"/>
    </row>
    <row r="25" spans="2:24" x14ac:dyDescent="0.25">
      <c r="I25" s="266"/>
      <c r="X25" s="267"/>
    </row>
    <row r="26" spans="2:24" x14ac:dyDescent="0.25">
      <c r="I26" s="266"/>
      <c r="X26" s="267"/>
    </row>
    <row r="27" spans="2:24" x14ac:dyDescent="0.25">
      <c r="I27" s="266"/>
      <c r="X27" s="267"/>
    </row>
    <row r="28" spans="2:24" x14ac:dyDescent="0.25">
      <c r="I28" s="266"/>
      <c r="X28" s="267"/>
    </row>
    <row r="29" spans="2:24" x14ac:dyDescent="0.25">
      <c r="I29" s="266"/>
      <c r="X29" s="267"/>
    </row>
    <row r="30" spans="2:24" x14ac:dyDescent="0.25">
      <c r="I30" s="266"/>
      <c r="X30" s="267"/>
    </row>
    <row r="31" spans="2:24" x14ac:dyDescent="0.25">
      <c r="I31" s="266"/>
      <c r="X31" s="267"/>
    </row>
    <row r="32" spans="2:24" x14ac:dyDescent="0.25">
      <c r="I32" s="266"/>
      <c r="X32" s="267"/>
    </row>
    <row r="33" spans="9:24" x14ac:dyDescent="0.25">
      <c r="I33" s="266"/>
      <c r="X33" s="267"/>
    </row>
    <row r="34" spans="9:24" x14ac:dyDescent="0.25">
      <c r="I34" s="271"/>
      <c r="J34" s="272"/>
      <c r="K34" s="272"/>
      <c r="L34" s="272"/>
      <c r="M34" s="272"/>
      <c r="N34" s="272"/>
      <c r="O34" s="272"/>
      <c r="P34" s="272"/>
      <c r="Q34" s="272"/>
      <c r="R34" s="272"/>
      <c r="S34" s="272"/>
      <c r="T34" s="272"/>
      <c r="U34" s="272"/>
      <c r="V34" s="272"/>
      <c r="W34" s="272"/>
      <c r="X34" s="273"/>
    </row>
    <row r="35" spans="9:24" x14ac:dyDescent="0.25">
      <c r="I35" s="270" t="s">
        <v>3106</v>
      </c>
    </row>
  </sheetData>
  <sheetProtection algorithmName="SHA-512" hashValue="qd1BzvCRMoiyU3Uai9GuNNS4GQko0jniTxVAWLiNGz3uktbgT6ayIqPdiDxbPXGJzKMjwRUxxK845XQOTtbBXA==" saltValue="AY305rz8yI2AEEa4XlB+sw==" spinCount="100000" sheet="1" objects="1" scenarios="1" selectLockedCells="1"/>
  <mergeCells count="5">
    <mergeCell ref="B6:C6"/>
    <mergeCell ref="B9:C9"/>
    <mergeCell ref="B13:C13"/>
    <mergeCell ref="I2:X2"/>
    <mergeCell ref="B4:C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L22"/>
  <sheetViews>
    <sheetView workbookViewId="0">
      <selection activeCell="C1" sqref="C1"/>
    </sheetView>
  </sheetViews>
  <sheetFormatPr baseColWidth="10" defaultColWidth="11.42578125" defaultRowHeight="15" x14ac:dyDescent="0.25"/>
  <cols>
    <col min="1" max="1" width="17.5703125" bestFit="1" customWidth="1"/>
    <col min="2" max="3" width="11.85546875" bestFit="1" customWidth="1"/>
  </cols>
  <sheetData>
    <row r="1" spans="1:12" ht="15.75" thickBot="1" x14ac:dyDescent="0.3">
      <c r="A1" s="503" t="s">
        <v>216</v>
      </c>
      <c r="B1" s="504"/>
    </row>
    <row r="2" spans="1:12" ht="15.75" thickBot="1" x14ac:dyDescent="0.3">
      <c r="A2" s="80" t="s">
        <v>217</v>
      </c>
      <c r="B2" s="79">
        <v>8.9999999999999993E-3</v>
      </c>
      <c r="C2" s="6"/>
    </row>
    <row r="3" spans="1:12" ht="15.75" thickBot="1" x14ac:dyDescent="0.3">
      <c r="A3" s="98"/>
      <c r="B3" s="6"/>
      <c r="C3" s="6"/>
    </row>
    <row r="4" spans="1:12" ht="15.75" thickBot="1" x14ac:dyDescent="0.3">
      <c r="A4" s="503" t="s">
        <v>218</v>
      </c>
      <c r="B4" s="505"/>
      <c r="C4" s="505"/>
      <c r="D4" s="505"/>
      <c r="E4" s="505"/>
      <c r="F4" s="505"/>
      <c r="G4" s="505"/>
      <c r="H4" s="505"/>
      <c r="I4" s="505"/>
      <c r="J4" s="505"/>
      <c r="K4" s="505"/>
      <c r="L4" s="504"/>
    </row>
    <row r="5" spans="1:12" x14ac:dyDescent="0.25">
      <c r="A5" s="501"/>
      <c r="B5" s="224" t="s">
        <v>219</v>
      </c>
      <c r="C5" s="82" t="s">
        <v>220</v>
      </c>
      <c r="D5" s="82" t="s">
        <v>221</v>
      </c>
      <c r="E5" s="82" t="s">
        <v>222</v>
      </c>
      <c r="F5" s="82" t="s">
        <v>223</v>
      </c>
      <c r="G5" s="82" t="s">
        <v>224</v>
      </c>
      <c r="H5" s="82" t="s">
        <v>225</v>
      </c>
      <c r="I5" s="82" t="s">
        <v>226</v>
      </c>
      <c r="J5" s="82" t="s">
        <v>227</v>
      </c>
      <c r="K5" s="82" t="s">
        <v>228</v>
      </c>
      <c r="L5" s="83" t="s">
        <v>229</v>
      </c>
    </row>
    <row r="6" spans="1:12" x14ac:dyDescent="0.25">
      <c r="A6" s="502"/>
      <c r="B6" s="225" t="s">
        <v>230</v>
      </c>
      <c r="C6" s="84" t="s">
        <v>231</v>
      </c>
      <c r="D6" s="84" t="s">
        <v>231</v>
      </c>
      <c r="E6" s="84" t="s">
        <v>232</v>
      </c>
      <c r="F6" s="84" t="s">
        <v>233</v>
      </c>
      <c r="G6" s="84" t="s">
        <v>231</v>
      </c>
      <c r="H6" s="84" t="s">
        <v>231</v>
      </c>
      <c r="I6" s="84" t="s">
        <v>231</v>
      </c>
      <c r="J6" s="84" t="s">
        <v>231</v>
      </c>
      <c r="K6" s="84" t="s">
        <v>234</v>
      </c>
      <c r="L6" s="85" t="s">
        <v>235</v>
      </c>
    </row>
    <row r="7" spans="1:12" x14ac:dyDescent="0.25">
      <c r="A7" s="93" t="s">
        <v>3009</v>
      </c>
      <c r="B7" s="226">
        <v>0.93799999999999994</v>
      </c>
      <c r="C7" s="16" t="str">
        <f>IFERROR(IF('DATOS DEL PROYECTO'!$I$38="No",HLOOKUP(DIMENSIONAMIENTO!G118,$A$17:$I$18,2,TRUE)/1000,HLOOKUP(DIMENSIONAMIENTO_2!G50,$A$17:$I$18,2,TRUE)/1000),"")</f>
        <v/>
      </c>
      <c r="D7" s="94" t="str">
        <f t="shared" ref="D7:D14" si="0">IFERROR(C7*B7,"")</f>
        <v/>
      </c>
      <c r="E7" s="94" t="str">
        <f t="shared" ref="E7:E14" si="1">IFERROR(PI()+2*ASIN((D7-(C7/2))/(C7/2)),"")</f>
        <v/>
      </c>
      <c r="F7" s="94" t="str">
        <f t="shared" ref="F7:F14" si="2">IFERROR(((E7-SIN(E7))*(C7)^2)/8,"")</f>
        <v/>
      </c>
      <c r="G7" s="94" t="str">
        <f t="shared" ref="G7:G14" si="3">IFERROR((E7*C7)/2,"")</f>
        <v/>
      </c>
      <c r="H7" s="94" t="str">
        <f t="shared" ref="H7:H14" si="4">IFERROR(F7/G7,"")</f>
        <v/>
      </c>
      <c r="I7" s="94" t="str">
        <f t="shared" ref="I7:I14" si="5">IFERROR(C7*COS(ASIN((D7-(C7/2))/(C7/2))),"")</f>
        <v/>
      </c>
      <c r="J7" s="94" t="str">
        <f t="shared" ref="J7:J14" si="6">IFERROR(F7/I7,"")</f>
        <v/>
      </c>
      <c r="K7" s="94" t="str">
        <f>IFERROR((1/$B$2)*H7^(2/3)*(IF('DATOS DEL PROYECTO'!$I$38="No",DIMENSIONAMIENTO!H118,DIMENSIONAMIENTO_2!H50)/100)^(1/2),"")</f>
        <v/>
      </c>
      <c r="L7" s="95" t="str">
        <f t="shared" ref="L7:L14" si="7">IFERROR(K7*F7*1000,"")</f>
        <v/>
      </c>
    </row>
    <row r="8" spans="1:12" x14ac:dyDescent="0.25">
      <c r="A8" s="93" t="s">
        <v>3010</v>
      </c>
      <c r="B8" s="226">
        <v>0.93799999999999994</v>
      </c>
      <c r="C8" s="16" t="str">
        <f>IFERROR(IF('DATOS DEL PROYECTO'!$I$38="No",HLOOKUP(DIMENSIONAMIENTO!G119,$A$17:$I$18,2,TRUE)/1000,HLOOKUP(DIMENSIONAMIENTO_2!G51,$A$17:$I$18,2,TRUE)/1000),"")</f>
        <v/>
      </c>
      <c r="D8" s="94" t="str">
        <f t="shared" si="0"/>
        <v/>
      </c>
      <c r="E8" s="94" t="str">
        <f t="shared" si="1"/>
        <v/>
      </c>
      <c r="F8" s="94" t="str">
        <f t="shared" si="2"/>
        <v/>
      </c>
      <c r="G8" s="94" t="str">
        <f t="shared" si="3"/>
        <v/>
      </c>
      <c r="H8" s="94" t="str">
        <f t="shared" si="4"/>
        <v/>
      </c>
      <c r="I8" s="94" t="str">
        <f t="shared" si="5"/>
        <v/>
      </c>
      <c r="J8" s="94" t="str">
        <f t="shared" si="6"/>
        <v/>
      </c>
      <c r="K8" s="94" t="str">
        <f>IFERROR((1/$B$2)*H8^(2/3)*(IF('DATOS DEL PROYECTO'!$I$38="No",DIMENSIONAMIENTO!H119,DIMENSIONAMIENTO_2!H51)/100)^(1/2),"")</f>
        <v/>
      </c>
      <c r="L8" s="95" t="str">
        <f t="shared" si="7"/>
        <v/>
      </c>
    </row>
    <row r="9" spans="1:12" x14ac:dyDescent="0.25">
      <c r="A9" s="93" t="s">
        <v>3011</v>
      </c>
      <c r="B9" s="226">
        <v>0.93799999999999994</v>
      </c>
      <c r="C9" s="16" t="str">
        <f>IFERROR(IF('DATOS DEL PROYECTO'!$I$38="No",HLOOKUP(DIMENSIONAMIENTO!G120,$A$17:$I$18,2,TRUE)/1000,HLOOKUP(DIMENSIONAMIENTO_2!G52,$A$17:$I$18,2,TRUE)/1000),"")</f>
        <v/>
      </c>
      <c r="D9" s="94" t="str">
        <f t="shared" si="0"/>
        <v/>
      </c>
      <c r="E9" s="94" t="str">
        <f t="shared" si="1"/>
        <v/>
      </c>
      <c r="F9" s="94" t="str">
        <f t="shared" si="2"/>
        <v/>
      </c>
      <c r="G9" s="94" t="str">
        <f t="shared" si="3"/>
        <v/>
      </c>
      <c r="H9" s="94" t="str">
        <f t="shared" si="4"/>
        <v/>
      </c>
      <c r="I9" s="94" t="str">
        <f t="shared" si="5"/>
        <v/>
      </c>
      <c r="J9" s="94" t="str">
        <f t="shared" si="6"/>
        <v/>
      </c>
      <c r="K9" s="94" t="str">
        <f>IFERROR((1/$B$2)*H9^(2/3)*(IF('DATOS DEL PROYECTO'!$I$38="No",DIMENSIONAMIENTO!H120,DIMENSIONAMIENTO_2!H52)/100)^(1/2),"")</f>
        <v/>
      </c>
      <c r="L9" s="95" t="str">
        <f t="shared" si="7"/>
        <v/>
      </c>
    </row>
    <row r="10" spans="1:12" x14ac:dyDescent="0.25">
      <c r="A10" s="93" t="s">
        <v>3012</v>
      </c>
      <c r="B10" s="226">
        <v>0.93799999999999994</v>
      </c>
      <c r="C10" s="16" t="str">
        <f>IFERROR(IF('DATOS DEL PROYECTO'!$I$38="No",HLOOKUP(DIMENSIONAMIENTO!G121,$A$17:$I$18,2,TRUE)/1000,HLOOKUP(DIMENSIONAMIENTO_2!G53,$A$17:$I$18,2,TRUE)/1000),"")</f>
        <v/>
      </c>
      <c r="D10" s="94" t="str">
        <f t="shared" si="0"/>
        <v/>
      </c>
      <c r="E10" s="94" t="str">
        <f t="shared" si="1"/>
        <v/>
      </c>
      <c r="F10" s="94" t="str">
        <f t="shared" si="2"/>
        <v/>
      </c>
      <c r="G10" s="94" t="str">
        <f t="shared" si="3"/>
        <v/>
      </c>
      <c r="H10" s="94" t="str">
        <f t="shared" si="4"/>
        <v/>
      </c>
      <c r="I10" s="94" t="str">
        <f t="shared" si="5"/>
        <v/>
      </c>
      <c r="J10" s="94" t="str">
        <f t="shared" si="6"/>
        <v/>
      </c>
      <c r="K10" s="94" t="str">
        <f>IFERROR((1/$B$2)*H10^(2/3)*(IF('DATOS DEL PROYECTO'!$I$38="No",DIMENSIONAMIENTO!H121,DIMENSIONAMIENTO_2!H53)/100)^(1/2),"")</f>
        <v/>
      </c>
      <c r="L10" s="95" t="str">
        <f t="shared" si="7"/>
        <v/>
      </c>
    </row>
    <row r="11" spans="1:12" x14ac:dyDescent="0.25">
      <c r="A11" s="93" t="s">
        <v>3013</v>
      </c>
      <c r="B11" s="226">
        <v>0.93799999999999994</v>
      </c>
      <c r="C11" s="16" t="str">
        <f>IFERROR(IF('DATOS DEL PROYECTO'!$I$38="No",HLOOKUP(DIMENSIONAMIENTO!G122,$A$17:$I$18,2,TRUE)/1000,HLOOKUP(DIMENSIONAMIENTO_2!G54,$A$17:$I$18,2,TRUE)/1000),"")</f>
        <v/>
      </c>
      <c r="D11" s="94" t="str">
        <f t="shared" si="0"/>
        <v/>
      </c>
      <c r="E11" s="94" t="str">
        <f t="shared" si="1"/>
        <v/>
      </c>
      <c r="F11" s="94" t="str">
        <f t="shared" si="2"/>
        <v/>
      </c>
      <c r="G11" s="94" t="str">
        <f t="shared" si="3"/>
        <v/>
      </c>
      <c r="H11" s="94" t="str">
        <f t="shared" si="4"/>
        <v/>
      </c>
      <c r="I11" s="94" t="str">
        <f t="shared" si="5"/>
        <v/>
      </c>
      <c r="J11" s="94" t="str">
        <f t="shared" si="6"/>
        <v/>
      </c>
      <c r="K11" s="94" t="str">
        <f>IFERROR((1/$B$2)*H11^(2/3)*(IF('DATOS DEL PROYECTO'!$I$38="No",DIMENSIONAMIENTO!H122,DIMENSIONAMIENTO_2!H54)/100)^(1/2),"")</f>
        <v/>
      </c>
      <c r="L11" s="95" t="str">
        <f t="shared" si="7"/>
        <v/>
      </c>
    </row>
    <row r="12" spans="1:12" x14ac:dyDescent="0.25">
      <c r="A12" s="93" t="s">
        <v>3014</v>
      </c>
      <c r="B12" s="226">
        <v>0.93799999999999994</v>
      </c>
      <c r="C12" s="16" t="str">
        <f>IFERROR(IF('DATOS DEL PROYECTO'!$I$38="No",HLOOKUP(DIMENSIONAMIENTO!G123,$A$17:$I$18,2,TRUE)/1000,HLOOKUP(DIMENSIONAMIENTO_2!G55,$A$17:$I$18,2,TRUE)/1000),"")</f>
        <v/>
      </c>
      <c r="D12" s="94" t="str">
        <f t="shared" si="0"/>
        <v/>
      </c>
      <c r="E12" s="94" t="str">
        <f t="shared" si="1"/>
        <v/>
      </c>
      <c r="F12" s="94" t="str">
        <f t="shared" si="2"/>
        <v/>
      </c>
      <c r="G12" s="94" t="str">
        <f t="shared" si="3"/>
        <v/>
      </c>
      <c r="H12" s="94" t="str">
        <f t="shared" si="4"/>
        <v/>
      </c>
      <c r="I12" s="94" t="str">
        <f t="shared" si="5"/>
        <v/>
      </c>
      <c r="J12" s="94" t="str">
        <f t="shared" si="6"/>
        <v/>
      </c>
      <c r="K12" s="94" t="str">
        <f>IFERROR((1/$B$2)*H12^(2/3)*(IF('DATOS DEL PROYECTO'!$I$38="No",DIMENSIONAMIENTO!H123,DIMENSIONAMIENTO_2!H55)/100)^(1/2),"")</f>
        <v/>
      </c>
      <c r="L12" s="95" t="str">
        <f t="shared" si="7"/>
        <v/>
      </c>
    </row>
    <row r="13" spans="1:12" x14ac:dyDescent="0.25">
      <c r="A13" s="93" t="s">
        <v>236</v>
      </c>
      <c r="B13" s="226">
        <v>0.93799999999999994</v>
      </c>
      <c r="C13" s="16" t="str">
        <f>IFERROR(IF('DATOS DEL PROYECTO'!$I$38="No",HLOOKUP(DIMENSIONAMIENTO!G130,$A$17:$I$18,2,TRUE)/1000,HLOOKUP(DIMENSIONAMIENTO_2!G62,$A$17:$I$18,2,TRUE)/1000),"")</f>
        <v/>
      </c>
      <c r="D13" s="94" t="str">
        <f t="shared" si="0"/>
        <v/>
      </c>
      <c r="E13" s="94" t="str">
        <f t="shared" si="1"/>
        <v/>
      </c>
      <c r="F13" s="94" t="str">
        <f t="shared" si="2"/>
        <v/>
      </c>
      <c r="G13" s="94" t="str">
        <f t="shared" si="3"/>
        <v/>
      </c>
      <c r="H13" s="94" t="str">
        <f t="shared" si="4"/>
        <v/>
      </c>
      <c r="I13" s="94" t="str">
        <f t="shared" si="5"/>
        <v/>
      </c>
      <c r="J13" s="94" t="str">
        <f t="shared" si="6"/>
        <v/>
      </c>
      <c r="K13" s="94" t="str">
        <f>IFERROR((1/$B$2)*H13^(2/3)*(IF('DATOS DEL PROYECTO'!$I$38="No",DIMENSIONAMIENTO!H130,DIMENSIONAMIENTO_2!H62)/100)^(1/2),"")</f>
        <v/>
      </c>
      <c r="L13" s="95" t="str">
        <f t="shared" si="7"/>
        <v/>
      </c>
    </row>
    <row r="14" spans="1:12" ht="15.75" thickBot="1" x14ac:dyDescent="0.3">
      <c r="A14" s="92" t="s">
        <v>237</v>
      </c>
      <c r="B14" s="223">
        <v>0.93799999999999994</v>
      </c>
      <c r="C14" s="81" t="str">
        <f>IFERROR(IF('DATOS DEL PROYECTO'!$I$38="No",HLOOKUP(DIMENSIONAMIENTO!G140,$A$17:$I$18,2,TRUE)/1000,HLOOKUP(DIMENSIONAMIENTO_2!G72,$A$17:$I$18,2,TRUE)/1000),"")</f>
        <v/>
      </c>
      <c r="D14" s="96" t="str">
        <f t="shared" si="0"/>
        <v/>
      </c>
      <c r="E14" s="96" t="str">
        <f t="shared" si="1"/>
        <v/>
      </c>
      <c r="F14" s="96" t="str">
        <f t="shared" si="2"/>
        <v/>
      </c>
      <c r="G14" s="96" t="str">
        <f t="shared" si="3"/>
        <v/>
      </c>
      <c r="H14" s="96" t="str">
        <f t="shared" si="4"/>
        <v/>
      </c>
      <c r="I14" s="96" t="str">
        <f t="shared" si="5"/>
        <v/>
      </c>
      <c r="J14" s="96" t="str">
        <f t="shared" si="6"/>
        <v/>
      </c>
      <c r="K14" s="96" t="str">
        <f>IFERROR((1/$B$2)*H14^(2/3)*(IF('DATOS DEL PROYECTO'!$I$38="No",DIMENSIONAMIENTO!H140,DIMENSIONAMIENTO_2!H72)/100)^(1/2),"")</f>
        <v/>
      </c>
      <c r="L14" s="97" t="str">
        <f t="shared" si="7"/>
        <v/>
      </c>
    </row>
    <row r="15" spans="1:12" ht="15.75" thickBot="1" x14ac:dyDescent="0.3"/>
    <row r="16" spans="1:12" ht="15.75" thickBot="1" x14ac:dyDescent="0.3">
      <c r="B16" s="503" t="s">
        <v>2774</v>
      </c>
      <c r="C16" s="505"/>
      <c r="D16" s="503" t="s">
        <v>238</v>
      </c>
      <c r="E16" s="505"/>
      <c r="F16" s="505"/>
      <c r="G16" s="505"/>
      <c r="H16" s="505"/>
      <c r="I16" s="504"/>
    </row>
    <row r="17" spans="1:9" x14ac:dyDescent="0.25">
      <c r="A17" s="91" t="s">
        <v>239</v>
      </c>
      <c r="B17" s="86" t="s">
        <v>2775</v>
      </c>
      <c r="C17" s="220" t="s">
        <v>2776</v>
      </c>
      <c r="D17" s="222">
        <v>110</v>
      </c>
      <c r="E17" s="86">
        <v>160</v>
      </c>
      <c r="F17" s="87">
        <v>200</v>
      </c>
      <c r="G17" s="87">
        <v>250</v>
      </c>
      <c r="H17" s="87">
        <v>315</v>
      </c>
      <c r="I17" s="88">
        <v>355</v>
      </c>
    </row>
    <row r="18" spans="1:9" ht="15.75" thickBot="1" x14ac:dyDescent="0.3">
      <c r="A18" s="92" t="s">
        <v>240</v>
      </c>
      <c r="B18" s="89">
        <v>54.48</v>
      </c>
      <c r="C18" s="221">
        <v>76.2</v>
      </c>
      <c r="D18" s="223">
        <v>99</v>
      </c>
      <c r="E18" s="89">
        <v>145</v>
      </c>
      <c r="F18" s="81">
        <v>182</v>
      </c>
      <c r="G18" s="81">
        <v>227</v>
      </c>
      <c r="H18" s="81">
        <v>284</v>
      </c>
      <c r="I18" s="90">
        <v>327</v>
      </c>
    </row>
    <row r="20" spans="1:9" ht="15.75" thickBot="1" x14ac:dyDescent="0.3"/>
    <row r="21" spans="1:9" x14ac:dyDescent="0.25">
      <c r="A21" s="156" t="s">
        <v>2997</v>
      </c>
      <c r="B21" s="157" t="b">
        <v>0</v>
      </c>
    </row>
    <row r="22" spans="1:9" ht="15.75" thickBot="1" x14ac:dyDescent="0.3">
      <c r="A22" s="158" t="s">
        <v>241</v>
      </c>
      <c r="B22" s="159" t="b">
        <v>0</v>
      </c>
    </row>
  </sheetData>
  <sheetProtection selectLockedCells="1" selectUnlockedCells="1"/>
  <mergeCells count="5">
    <mergeCell ref="A5:A6"/>
    <mergeCell ref="A1:B1"/>
    <mergeCell ref="A4:L4"/>
    <mergeCell ref="B16:C16"/>
    <mergeCell ref="D16:I16"/>
  </mergeCells>
  <phoneticPr fontId="75" type="noConversion"/>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18CFA-1FEE-40FA-ABE3-04847503021A}">
  <sheetPr codeName="Hoja11"/>
  <dimension ref="A1:AZ121"/>
  <sheetViews>
    <sheetView workbookViewId="0">
      <selection activeCell="AS58" sqref="AS58"/>
    </sheetView>
  </sheetViews>
  <sheetFormatPr baseColWidth="10" defaultColWidth="11.42578125" defaultRowHeight="15" customHeight="1" zeroHeight="1" x14ac:dyDescent="0.25"/>
  <cols>
    <col min="1" max="2" width="11.42578125" style="99" customWidth="1"/>
    <col min="3" max="3" width="15.7109375" style="99" customWidth="1"/>
    <col min="4" max="4" width="30.42578125" style="99" bestFit="1" customWidth="1"/>
    <col min="5" max="5" width="18" style="99" customWidth="1"/>
    <col min="6" max="6" width="15.7109375" style="99" customWidth="1"/>
    <col min="7" max="7" width="25.140625" style="99" customWidth="1"/>
    <col min="8" max="8" width="25.140625" style="100" customWidth="1"/>
    <col min="9" max="9" width="26" style="99" customWidth="1"/>
    <col min="10" max="18" width="25.140625" style="99" customWidth="1"/>
    <col min="19" max="41" width="11.42578125" style="99" customWidth="1"/>
    <col min="42" max="42" width="17.140625" style="99" customWidth="1"/>
    <col min="43" max="44" width="11.42578125" style="99" customWidth="1"/>
    <col min="45" max="45" width="27.28515625" style="99" customWidth="1"/>
    <col min="46" max="47" width="11.42578125" style="99" customWidth="1"/>
    <col min="48" max="48" width="12" style="99" customWidth="1"/>
    <col min="49" max="49" width="29.140625" style="99" customWidth="1"/>
    <col min="50" max="16384" width="11.42578125" style="99"/>
  </cols>
  <sheetData>
    <row r="1" spans="1:29" ht="15" customHeight="1" x14ac:dyDescent="0.25">
      <c r="A1" s="515" t="s">
        <v>242</v>
      </c>
      <c r="B1" s="515"/>
      <c r="C1" s="515"/>
      <c r="D1" s="515"/>
      <c r="E1" s="515"/>
      <c r="F1" s="515"/>
      <c r="G1" s="515"/>
      <c r="H1" s="515"/>
      <c r="I1" s="515"/>
      <c r="J1" s="515"/>
      <c r="K1" s="516"/>
    </row>
    <row r="2" spans="1:29" ht="15" customHeight="1" x14ac:dyDescent="0.25">
      <c r="A2" s="515"/>
      <c r="B2" s="515"/>
      <c r="C2" s="515"/>
      <c r="D2" s="515"/>
      <c r="E2" s="515"/>
      <c r="F2" s="515"/>
      <c r="G2" s="515"/>
      <c r="H2" s="515"/>
      <c r="I2" s="515"/>
      <c r="J2" s="515"/>
      <c r="K2" s="516"/>
    </row>
    <row r="3" spans="1:29" x14ac:dyDescent="0.25">
      <c r="C3" s="9"/>
      <c r="D3" s="9"/>
      <c r="E3" s="135"/>
      <c r="F3" s="10"/>
    </row>
    <row r="4" spans="1:29" ht="19.5" x14ac:dyDescent="0.25">
      <c r="C4" s="517" t="s">
        <v>243</v>
      </c>
      <c r="D4" s="518"/>
      <c r="E4" s="518"/>
      <c r="F4" s="518"/>
      <c r="G4" s="518"/>
      <c r="H4" s="518"/>
      <c r="I4" s="518"/>
      <c r="J4" s="518"/>
      <c r="K4" s="519"/>
    </row>
    <row r="5" spans="1:29" x14ac:dyDescent="0.25">
      <c r="C5" s="520" t="s">
        <v>131</v>
      </c>
      <c r="D5" s="520"/>
      <c r="E5" s="11">
        <f>IF('DATOS DEL PROYECTO'!I38="No",DIMENSIONAMIENTO!H89,DIMENSIONAMIENTO_2!H21)</f>
        <v>0</v>
      </c>
      <c r="F5" s="134" t="s">
        <v>132</v>
      </c>
      <c r="G5" s="510" t="s">
        <v>3056</v>
      </c>
      <c r="H5" s="510"/>
      <c r="I5" s="12" t="str">
        <f>IF('DATOS DEL PROYECTO'!M34="No",DIMENSIONAMIENTO!H96,DIMENSIONAMIENTO_2!H28)</f>
        <v/>
      </c>
      <c r="J5" s="134" t="s">
        <v>138</v>
      </c>
      <c r="K5" s="105"/>
    </row>
    <row r="6" spans="1:29" ht="15.75" x14ac:dyDescent="0.25">
      <c r="C6" s="520" t="s">
        <v>133</v>
      </c>
      <c r="D6" s="520"/>
      <c r="E6" s="11">
        <f>IF('DATOS DEL PROYECTO'!I38="No",DIMENSIONAMIENTO!H88,DIMENSIONAMIENTO_2!H20)</f>
        <v>0</v>
      </c>
      <c r="F6" s="134" t="s">
        <v>132</v>
      </c>
      <c r="G6" s="510" t="s">
        <v>3055</v>
      </c>
      <c r="H6" s="510"/>
      <c r="I6" s="12" t="str">
        <f>IF('DATOS DEL PROYECTO'!M35="No",DIMENSIONAMIENTO!H97,DIMENSIONAMIENTO_2!H29)</f>
        <v/>
      </c>
      <c r="J6" s="134" t="s">
        <v>138</v>
      </c>
      <c r="K6" s="106"/>
      <c r="U6" s="507" t="s">
        <v>244</v>
      </c>
      <c r="V6" s="508"/>
      <c r="W6" s="508"/>
      <c r="X6" s="508"/>
      <c r="Y6" s="508"/>
      <c r="Z6" s="508"/>
      <c r="AA6" s="508"/>
      <c r="AB6" s="508"/>
      <c r="AC6" s="509"/>
    </row>
    <row r="7" spans="1:29" ht="15" customHeight="1" x14ac:dyDescent="0.25">
      <c r="C7" s="520" t="s">
        <v>134</v>
      </c>
      <c r="D7" s="520"/>
      <c r="E7" s="11" t="str">
        <f>IF('DATOS DEL PROYECTO'!I38="No",DIMENSIONAMIENTO!H87,DIMENSIONAMIENTO_2!H19)</f>
        <v/>
      </c>
      <c r="F7" s="134" t="s">
        <v>132</v>
      </c>
      <c r="G7" s="154"/>
      <c r="H7" s="155"/>
      <c r="I7" s="155"/>
      <c r="J7" s="155"/>
      <c r="K7" s="106"/>
      <c r="U7" s="18" t="s">
        <v>3018</v>
      </c>
      <c r="V7" s="18" t="s">
        <v>3019</v>
      </c>
      <c r="W7" s="18" t="s">
        <v>3020</v>
      </c>
      <c r="X7" s="18" t="s">
        <v>3021</v>
      </c>
      <c r="Y7" s="18" t="s">
        <v>3022</v>
      </c>
      <c r="Z7" s="18" t="s">
        <v>3023</v>
      </c>
      <c r="AA7" s="18" t="s">
        <v>245</v>
      </c>
      <c r="AB7" s="18" t="s">
        <v>246</v>
      </c>
      <c r="AC7" s="18" t="s">
        <v>29</v>
      </c>
    </row>
    <row r="8" spans="1:29" x14ac:dyDescent="0.25">
      <c r="C8" s="510" t="s">
        <v>247</v>
      </c>
      <c r="D8" s="510"/>
      <c r="E8" s="11">
        <f>E5*E6</f>
        <v>0</v>
      </c>
      <c r="F8" s="134" t="s">
        <v>136</v>
      </c>
      <c r="G8" s="154"/>
      <c r="H8" s="155"/>
      <c r="I8" s="155"/>
      <c r="J8" s="155"/>
      <c r="K8" s="106"/>
      <c r="T8" s="101">
        <v>110</v>
      </c>
      <c r="U8" s="241">
        <f>IF('DATOS DEL PROYECTO'!$I$38="No",IF(DIMENSIONAMIENTO!$G$118=T8,DIMENSIONAMIENTO!$M$118,0),IF(DIMENSIONAMIENTO_2!$G$50=T8,DIMENSIONAMIENTO_2!$M$50,0))</f>
        <v>0</v>
      </c>
      <c r="V8" s="241">
        <f>IF('DATOS DEL PROYECTO'!$I$38="No",IF(DIMENSIONAMIENTO!$G$119=T8,DIMENSIONAMIENTO!$M$119,0),IF(DIMENSIONAMIENTO_2!$G$51=T8,DIMENSIONAMIENTO_2!$M$51,0))</f>
        <v>0</v>
      </c>
      <c r="W8" s="241">
        <f>IF('DATOS DEL PROYECTO'!$I$38="No",IF(DIMENSIONAMIENTO!$G$120=T8,DIMENSIONAMIENTO!$M$120,0),IF(DIMENSIONAMIENTO_2!$G$52=T8,DIMENSIONAMIENTO_2!$M$52,0))</f>
        <v>0</v>
      </c>
      <c r="X8" s="241">
        <f>IF('DATOS DEL PROYECTO'!$I$38="No",IF(DIMENSIONAMIENTO!$G$121=T8,DIMENSIONAMIENTO!$M$121,0),IF(DIMENSIONAMIENTO_2!$G$53=T8,DIMENSIONAMIENTO_2!$M$53,0))</f>
        <v>0</v>
      </c>
      <c r="Y8" s="241">
        <f>IF('DATOS DEL PROYECTO'!$I$38="No",IF(DIMENSIONAMIENTO!$G$122=T8,DIMENSIONAMIENTO!$M$122,0),IF(DIMENSIONAMIENTO_2!$G$54=T8,DIMENSIONAMIENTO_2!$M$54,0))</f>
        <v>0</v>
      </c>
      <c r="Z8" s="241">
        <f>IF('DATOS DEL PROYECTO'!$I$38="No",IF(DIMENSIONAMIENTO!$G$123=T8,DIMENSIONAMIENTO!$M$123,0),IF(DIMENSIONAMIENTO_2!$G$55=T8,DIMENSIONAMIENTO_2!$M$55,0))</f>
        <v>0</v>
      </c>
      <c r="AA8" s="241">
        <f>IF('DATOS DEL PROYECTO'!$I$38="No",IF(DIMENSIONAMIENTO!$G$130=T8,DIMENSIONAMIENTO!$J$133,0),IF(DIMENSIONAMIENTO_2!$G$62=T8,DIMENSIONAMIENTO_2!$J$65,0))</f>
        <v>0</v>
      </c>
      <c r="AB8" s="241">
        <f>IF('DATOS DEL PROYECTO'!$I$38="No",IF(DIMENSIONAMIENTO!$G$140=T8,DIMENSIONAMIENTO!$J$142,0),IF(DIMENSIONAMIENTO_2!$G$72=T8,DIMENSIONAMIENTO_2!$J$74,0))</f>
        <v>0</v>
      </c>
      <c r="AC8" s="241">
        <f t="shared" ref="AC8:AC13" si="0">SUM(U8:AB8)</f>
        <v>0</v>
      </c>
    </row>
    <row r="9" spans="1:29" x14ac:dyDescent="0.25">
      <c r="C9" s="510" t="s">
        <v>3000</v>
      </c>
      <c r="D9" s="510"/>
      <c r="E9" s="12" t="str">
        <f>IF('DATOS DEL PROYECTO'!I38="No",DIMENSIONAMIENTO!H95,DIMENSIONAMIENTO_2!H27)</f>
        <v/>
      </c>
      <c r="F9" s="134" t="s">
        <v>138</v>
      </c>
      <c r="G9" s="154"/>
      <c r="H9" s="155"/>
      <c r="I9" s="155"/>
      <c r="J9" s="155"/>
      <c r="K9" s="106"/>
      <c r="T9" s="101">
        <v>160</v>
      </c>
      <c r="U9" s="241">
        <f>IF('DATOS DEL PROYECTO'!$I$38="No",IF(DIMENSIONAMIENTO!$G$118=T9,DIMENSIONAMIENTO!$M$118,0),IF(DIMENSIONAMIENTO_2!$G$50=T9,DIMENSIONAMIENTO_2!$M$50,0))</f>
        <v>0</v>
      </c>
      <c r="V9" s="241">
        <f>IF('DATOS DEL PROYECTO'!$I$38="No",IF(DIMENSIONAMIENTO!$G$119=T9,DIMENSIONAMIENTO!$M$119,0),IF(DIMENSIONAMIENTO_2!$G$51=T9,DIMENSIONAMIENTO_2!$M$51,0))</f>
        <v>0</v>
      </c>
      <c r="W9" s="241">
        <f>IF('DATOS DEL PROYECTO'!$I$38="No",IF(DIMENSIONAMIENTO!$G$120=T9,DIMENSIONAMIENTO!$M$120,0),IF(DIMENSIONAMIENTO_2!$G$52=T9,DIMENSIONAMIENTO_2!$M$52,0))</f>
        <v>0</v>
      </c>
      <c r="X9" s="241">
        <f>IF('DATOS DEL PROYECTO'!$I$38="No",IF(DIMENSIONAMIENTO!$G$121=T9,DIMENSIONAMIENTO!$M$121,0),IF(DIMENSIONAMIENTO_2!$G$53=T9,DIMENSIONAMIENTO_2!$M$53,0))</f>
        <v>0</v>
      </c>
      <c r="Y9" s="241">
        <f>IF('DATOS DEL PROYECTO'!$I$38="No",IF(DIMENSIONAMIENTO!$G$122=T9,DIMENSIONAMIENTO!$M$122,0),IF(DIMENSIONAMIENTO_2!$G$54=T9,DIMENSIONAMIENTO_2!$M$54,0))</f>
        <v>0</v>
      </c>
      <c r="Z9" s="241">
        <f>IF('DATOS DEL PROYECTO'!$I$38="No",IF(DIMENSIONAMIENTO!$G$123=T9,DIMENSIONAMIENTO!$M$123,0),IF(DIMENSIONAMIENTO_2!$G$55=T9,DIMENSIONAMIENTO_2!$M$55,0))</f>
        <v>0</v>
      </c>
      <c r="AA9" s="241">
        <f>IF('DATOS DEL PROYECTO'!$I$38="No",IF(DIMENSIONAMIENTO!$G$130=T9,DIMENSIONAMIENTO!$J$133,0),IF(DIMENSIONAMIENTO_2!$G$62=T9,DIMENSIONAMIENTO_2!$J$65,0))</f>
        <v>0</v>
      </c>
      <c r="AB9" s="241">
        <f>IF('DATOS DEL PROYECTO'!$I$38="No",IF(DIMENSIONAMIENTO!$G$140=T9,DIMENSIONAMIENTO!$J$142,0),IF(DIMENSIONAMIENTO_2!$G$72=T9,DIMENSIONAMIENTO_2!$J$74,0))</f>
        <v>0</v>
      </c>
      <c r="AC9" s="241">
        <f t="shared" si="0"/>
        <v>0</v>
      </c>
    </row>
    <row r="10" spans="1:29" x14ac:dyDescent="0.25">
      <c r="C10" s="510" t="s">
        <v>248</v>
      </c>
      <c r="D10" s="510"/>
      <c r="E10" s="13">
        <v>30</v>
      </c>
      <c r="F10" s="134" t="s">
        <v>249</v>
      </c>
      <c r="G10" s="154"/>
      <c r="H10" s="155"/>
      <c r="I10" s="155"/>
      <c r="J10" s="155"/>
      <c r="K10" s="106"/>
      <c r="T10" s="101">
        <v>200</v>
      </c>
      <c r="U10" s="241">
        <f>IF('DATOS DEL PROYECTO'!$I$38="No",IF(DIMENSIONAMIENTO!$G$118=T10,DIMENSIONAMIENTO!$M$118,0),IF(DIMENSIONAMIENTO_2!$G$50=T10,DIMENSIONAMIENTO_2!$M$50,0))</f>
        <v>0</v>
      </c>
      <c r="V10" s="241">
        <f>IF('DATOS DEL PROYECTO'!$I$38="No",IF(DIMENSIONAMIENTO!$G$119=T10,DIMENSIONAMIENTO!$M$119,0),IF(DIMENSIONAMIENTO_2!$G$51=T10,DIMENSIONAMIENTO_2!$M$51,0))</f>
        <v>0</v>
      </c>
      <c r="W10" s="241">
        <f>IF('DATOS DEL PROYECTO'!$I$38="No",IF(DIMENSIONAMIENTO!$G$120=T10,DIMENSIONAMIENTO!$M$120,0),IF(DIMENSIONAMIENTO_2!$G$52=T10,DIMENSIONAMIENTO_2!$M$52,0))</f>
        <v>0</v>
      </c>
      <c r="X10" s="241">
        <f>IF('DATOS DEL PROYECTO'!$I$38="No",IF(DIMENSIONAMIENTO!$G$121=T10,DIMENSIONAMIENTO!$M$121,0),IF(DIMENSIONAMIENTO_2!$G$53=T10,DIMENSIONAMIENTO_2!$M$53,0))</f>
        <v>0</v>
      </c>
      <c r="Y10" s="241">
        <f>IF('DATOS DEL PROYECTO'!$I$38="No",IF(DIMENSIONAMIENTO!$G$122=T10,DIMENSIONAMIENTO!$M$122,0),IF(DIMENSIONAMIENTO_2!$G$54=T10,DIMENSIONAMIENTO_2!$M$54,0))</f>
        <v>0</v>
      </c>
      <c r="Z10" s="241">
        <f>IF('DATOS DEL PROYECTO'!$I$38="No",IF(DIMENSIONAMIENTO!$G$123=T10,DIMENSIONAMIENTO!$M$123,0),IF(DIMENSIONAMIENTO_2!$G$55=T10,DIMENSIONAMIENTO_2!$M$55,0))</f>
        <v>0</v>
      </c>
      <c r="AA10" s="241">
        <f>IF('DATOS DEL PROYECTO'!$I$38="No",IF(DIMENSIONAMIENTO!$G$130=T10,DIMENSIONAMIENTO!$J$133,0),IF(DIMENSIONAMIENTO_2!$G$62=T10,DIMENSIONAMIENTO_2!$J$65,0))</f>
        <v>0</v>
      </c>
      <c r="AB10" s="241">
        <f>IF('DATOS DEL PROYECTO'!$I$38="No",IF(DIMENSIONAMIENTO!$G$140=T10,DIMENSIONAMIENTO!$J$142,0),IF(DIMENSIONAMIENTO_2!$G$72=T10,DIMENSIONAMIENTO_2!$J$74,0))</f>
        <v>0</v>
      </c>
      <c r="AC10" s="241">
        <f t="shared" si="0"/>
        <v>0</v>
      </c>
    </row>
    <row r="11" spans="1:29" x14ac:dyDescent="0.25">
      <c r="C11" s="511" t="s">
        <v>142</v>
      </c>
      <c r="D11" s="511"/>
      <c r="E11" s="11" t="str">
        <f>IF(AND(CALCULOS!B21=FALSE,CALCULOS!B22=FALSE),"",IF(CALCULOS!B22,"",IFERROR(ROUNDUP(2*(($E$5*$E$6)+($E$6*$E$7)+($E$5*$E$7))*(1+$E$10/100),0),"")))</f>
        <v/>
      </c>
      <c r="F11" s="134" t="s">
        <v>136</v>
      </c>
      <c r="G11" s="154"/>
      <c r="H11" s="155"/>
      <c r="I11" s="155"/>
      <c r="J11" s="155"/>
      <c r="K11" s="106"/>
      <c r="T11" s="101">
        <v>250</v>
      </c>
      <c r="U11" s="241">
        <f>IF('DATOS DEL PROYECTO'!$I$38="No",IF(DIMENSIONAMIENTO!$G$118=T11,DIMENSIONAMIENTO!$M$118,0),IF(DIMENSIONAMIENTO_2!$G$50=T11,DIMENSIONAMIENTO_2!$M$50,0))</f>
        <v>0</v>
      </c>
      <c r="V11" s="241">
        <f>IF('DATOS DEL PROYECTO'!$I$38="No",IF(DIMENSIONAMIENTO!$G$119=T11,DIMENSIONAMIENTO!$M$119,0),IF(DIMENSIONAMIENTO_2!$G$51=T11,DIMENSIONAMIENTO_2!$M$51,0))</f>
        <v>0</v>
      </c>
      <c r="W11" s="241">
        <f>IF('DATOS DEL PROYECTO'!$I$38="No",IF(DIMENSIONAMIENTO!$G$120=T11,DIMENSIONAMIENTO!$M$120,0),IF(DIMENSIONAMIENTO_2!$G$52=T11,DIMENSIONAMIENTO_2!$M$52,0))</f>
        <v>0</v>
      </c>
      <c r="X11" s="241">
        <f>IF('DATOS DEL PROYECTO'!$I$38="No",IF(DIMENSIONAMIENTO!$G$121=T11,DIMENSIONAMIENTO!$M$121,0),IF(DIMENSIONAMIENTO_2!$G$53=T11,DIMENSIONAMIENTO_2!$M$53,0))</f>
        <v>0</v>
      </c>
      <c r="Y11" s="241">
        <f>IF('DATOS DEL PROYECTO'!$I$38="No",IF(DIMENSIONAMIENTO!$G$122=T11,DIMENSIONAMIENTO!$M$122,0),IF(DIMENSIONAMIENTO_2!$G$54=T11,DIMENSIONAMIENTO_2!$M$54,0))</f>
        <v>0</v>
      </c>
      <c r="Z11" s="241">
        <f>IF('DATOS DEL PROYECTO'!$I$38="No",IF(DIMENSIONAMIENTO!$G$123=T11,DIMENSIONAMIENTO!$M$123,0),IF(DIMENSIONAMIENTO_2!$G$55=T11,DIMENSIONAMIENTO_2!$M$55,0))</f>
        <v>0</v>
      </c>
      <c r="AA11" s="241">
        <f>IF('DATOS DEL PROYECTO'!$I$38="No",IF(DIMENSIONAMIENTO!$G$130=T11,DIMENSIONAMIENTO!$J$133,0),IF(DIMENSIONAMIENTO_2!$G$62=T11,DIMENSIONAMIENTO_2!$J$65,0))</f>
        <v>0</v>
      </c>
      <c r="AB11" s="241">
        <f>IF('DATOS DEL PROYECTO'!$I$38="No",IF(DIMENSIONAMIENTO!$G$140=T11,DIMENSIONAMIENTO!$J$142,0),IF(DIMENSIONAMIENTO_2!$G$72=T11,DIMENSIONAMIENTO_2!$J$74,0))</f>
        <v>0</v>
      </c>
      <c r="AC11" s="241">
        <f t="shared" si="0"/>
        <v>0</v>
      </c>
    </row>
    <row r="12" spans="1:29" ht="15" customHeight="1" x14ac:dyDescent="0.25">
      <c r="C12" s="510" t="s">
        <v>250</v>
      </c>
      <c r="D12" s="510"/>
      <c r="E12" s="13">
        <v>30</v>
      </c>
      <c r="F12" s="134" t="s">
        <v>249</v>
      </c>
      <c r="G12" s="154"/>
      <c r="H12" s="155"/>
      <c r="I12" s="155"/>
      <c r="J12" s="155"/>
      <c r="K12" s="106"/>
      <c r="T12" s="101">
        <v>315</v>
      </c>
      <c r="U12" s="241">
        <f>IF('DATOS DEL PROYECTO'!$I$38="No",IF(DIMENSIONAMIENTO!$G$118=T12,DIMENSIONAMIENTO!$M$118,0),IF(DIMENSIONAMIENTO_2!$G$50=T12,DIMENSIONAMIENTO_2!$M$50,0))</f>
        <v>0</v>
      </c>
      <c r="V12" s="241">
        <f>IF('DATOS DEL PROYECTO'!$I$38="No",IF(DIMENSIONAMIENTO!$G$119=T12,DIMENSIONAMIENTO!$M$119,0),IF(DIMENSIONAMIENTO_2!$G$51=T12,DIMENSIONAMIENTO_2!$M$51,0))</f>
        <v>0</v>
      </c>
      <c r="W12" s="241">
        <f>IF('DATOS DEL PROYECTO'!$I$38="No",IF(DIMENSIONAMIENTO!$G$120=T12,DIMENSIONAMIENTO!$M$120,0),IF(DIMENSIONAMIENTO_2!$G$52=T12,DIMENSIONAMIENTO_2!$M$52,0))</f>
        <v>0</v>
      </c>
      <c r="X12" s="241">
        <f>IF('DATOS DEL PROYECTO'!$I$38="No",IF(DIMENSIONAMIENTO!$G$121=T12,DIMENSIONAMIENTO!$M$121,0),IF(DIMENSIONAMIENTO_2!$G$53=T12,DIMENSIONAMIENTO_2!$M$53,0))</f>
        <v>0</v>
      </c>
      <c r="Y12" s="241">
        <f>IF('DATOS DEL PROYECTO'!$I$38="No",IF(DIMENSIONAMIENTO!$G$122=T12,DIMENSIONAMIENTO!$M$122,0),IF(DIMENSIONAMIENTO_2!$G$54=T12,DIMENSIONAMIENTO_2!$M$54,0))</f>
        <v>0</v>
      </c>
      <c r="Z12" s="241">
        <f>IF('DATOS DEL PROYECTO'!$I$38="No",IF(DIMENSIONAMIENTO!$G$123=T12,DIMENSIONAMIENTO!$M$123,0),IF(DIMENSIONAMIENTO_2!$G$55=T12,DIMENSIONAMIENTO_2!$M$55,0))</f>
        <v>0</v>
      </c>
      <c r="AA12" s="241">
        <f>IF('DATOS DEL PROYECTO'!$I$38="No",IF(DIMENSIONAMIENTO!$G$130=T12,DIMENSIONAMIENTO!$J$133,0),IF(DIMENSIONAMIENTO_2!$G$62=T12,DIMENSIONAMIENTO_2!$J$65,0))</f>
        <v>0</v>
      </c>
      <c r="AB12" s="241">
        <f>IF('DATOS DEL PROYECTO'!$I$38="No",IF(DIMENSIONAMIENTO!$G$140=T12,DIMENSIONAMIENTO!$J$142,0),IF(DIMENSIONAMIENTO_2!$G$72=T12,DIMENSIONAMIENTO_2!$J$74,0))</f>
        <v>0</v>
      </c>
      <c r="AC12" s="241">
        <f t="shared" si="0"/>
        <v>0</v>
      </c>
    </row>
    <row r="13" spans="1:29" ht="15" customHeight="1" x14ac:dyDescent="0.25">
      <c r="C13" s="511" t="s">
        <v>251</v>
      </c>
      <c r="D13" s="511"/>
      <c r="E13" s="13" t="str">
        <f>IF(AND(CALCULOS!B21=FALSE,CALCULOS!B22=FALSE),"",IF(CALCULOS!B22,1,2))</f>
        <v/>
      </c>
      <c r="F13" s="134" t="s">
        <v>211</v>
      </c>
      <c r="G13" s="154"/>
      <c r="H13" s="155"/>
      <c r="I13" s="155"/>
      <c r="J13" s="155"/>
      <c r="K13" s="106"/>
      <c r="T13" s="101">
        <v>355</v>
      </c>
      <c r="U13" s="241">
        <f>IF('DATOS DEL PROYECTO'!$I$38="No",IF(DIMENSIONAMIENTO!$G$118=T13,DIMENSIONAMIENTO!$M$118,0),IF(DIMENSIONAMIENTO_2!$G$50=T13,DIMENSIONAMIENTO_2!$M$50,0))</f>
        <v>0</v>
      </c>
      <c r="V13" s="241">
        <f>IF('DATOS DEL PROYECTO'!$I$38="No",IF(DIMENSIONAMIENTO!$G$119=T13,DIMENSIONAMIENTO!$M$119,0),IF(DIMENSIONAMIENTO_2!$G$51=T13,DIMENSIONAMIENTO_2!$M$51,0))</f>
        <v>0</v>
      </c>
      <c r="W13" s="241">
        <f>IF('DATOS DEL PROYECTO'!$I$38="No",IF(DIMENSIONAMIENTO!$G$120=T13,DIMENSIONAMIENTO!$M$120,0),IF(DIMENSIONAMIENTO_2!$G$52=T13,DIMENSIONAMIENTO_2!$M$52,0))</f>
        <v>0</v>
      </c>
      <c r="X13" s="241">
        <f>IF('DATOS DEL PROYECTO'!$I$38="No",IF(DIMENSIONAMIENTO!$G$121=T13,DIMENSIONAMIENTO!$M$121,0),IF(DIMENSIONAMIENTO_2!$G$53=T13,DIMENSIONAMIENTO_2!$M$53,0))</f>
        <v>0</v>
      </c>
      <c r="Y13" s="241">
        <f>IF('DATOS DEL PROYECTO'!$I$38="No",IF(DIMENSIONAMIENTO!$G$122=T13,DIMENSIONAMIENTO!$M$122,0),IF(DIMENSIONAMIENTO_2!$G$54=T13,DIMENSIONAMIENTO_2!$M$54,0))</f>
        <v>0</v>
      </c>
      <c r="Z13" s="241">
        <f>IF('DATOS DEL PROYECTO'!$I$38="No",IF(DIMENSIONAMIENTO!$G$123=T13,DIMENSIONAMIENTO!$M$123,0),IF(DIMENSIONAMIENTO_2!$G$55=T13,DIMENSIONAMIENTO_2!$M$55,0))</f>
        <v>0</v>
      </c>
      <c r="AA13" s="241">
        <f>IF('DATOS DEL PROYECTO'!$I$38="No",IF(DIMENSIONAMIENTO!$G$130=T13,DIMENSIONAMIENTO!$J$133,0),IF(DIMENSIONAMIENTO_2!$G$62=T13,DIMENSIONAMIENTO_2!$J$65,0))</f>
        <v>0</v>
      </c>
      <c r="AB13" s="241">
        <f>IF('DATOS DEL PROYECTO'!$I$38="No",IF(DIMENSIONAMIENTO!$G$140=T13,DIMENSIONAMIENTO!$J$142,0),IF(DIMENSIONAMIENTO_2!$G$72=T13,DIMENSIONAMIENTO_2!$J$74,0))</f>
        <v>0</v>
      </c>
      <c r="AC13" s="241">
        <f t="shared" si="0"/>
        <v>0</v>
      </c>
    </row>
    <row r="14" spans="1:29" x14ac:dyDescent="0.25">
      <c r="C14" s="511" t="s">
        <v>143</v>
      </c>
      <c r="D14" s="511"/>
      <c r="E14" s="11" t="str">
        <f>IFERROR(ROUNDUP(2*(($E$5*$E$6)+($E$6*$E$7)+($E$5*$E$7))*(1+$E$12/100),0)*$E$13,"")</f>
        <v/>
      </c>
      <c r="F14" s="134" t="s">
        <v>136</v>
      </c>
      <c r="G14" s="154"/>
      <c r="H14" s="155"/>
      <c r="I14" s="155"/>
      <c r="J14" s="155"/>
      <c r="K14" s="106"/>
    </row>
    <row r="15" spans="1:29" x14ac:dyDescent="0.25">
      <c r="C15" s="513" t="s">
        <v>3035</v>
      </c>
      <c r="D15" s="513"/>
      <c r="E15" s="7" t="str">
        <f>IFERROR(ROUNDUP(E14/(F29*G29),0),"")</f>
        <v/>
      </c>
      <c r="F15" s="134" t="s">
        <v>252</v>
      </c>
      <c r="G15" s="154"/>
      <c r="H15" s="155"/>
      <c r="I15" s="155"/>
      <c r="J15" s="155"/>
      <c r="K15" s="106"/>
    </row>
    <row r="16" spans="1:29" ht="15.75" x14ac:dyDescent="0.25">
      <c r="C16" s="513" t="s">
        <v>3034</v>
      </c>
      <c r="D16" s="513"/>
      <c r="E16" s="7" t="str">
        <f>IFERROR(ROUNDUP(E11/(F30*G30),0),"")</f>
        <v/>
      </c>
      <c r="F16" s="134" t="s">
        <v>252</v>
      </c>
      <c r="G16" s="116"/>
      <c r="H16" s="117"/>
      <c r="I16" s="117"/>
      <c r="J16" s="117"/>
      <c r="K16" s="107"/>
      <c r="U16" s="507" t="s">
        <v>253</v>
      </c>
      <c r="V16" s="508"/>
      <c r="W16" s="508"/>
      <c r="X16" s="508"/>
      <c r="Y16" s="508"/>
      <c r="Z16" s="508"/>
      <c r="AA16" s="508"/>
      <c r="AB16" s="508"/>
      <c r="AC16" s="509"/>
    </row>
    <row r="17" spans="3:52" x14ac:dyDescent="0.25">
      <c r="U17" s="18" t="s">
        <v>3018</v>
      </c>
      <c r="V17" s="18" t="s">
        <v>3019</v>
      </c>
      <c r="W17" s="18" t="s">
        <v>3020</v>
      </c>
      <c r="X17" s="18" t="s">
        <v>3021</v>
      </c>
      <c r="Y17" s="18" t="s">
        <v>3022</v>
      </c>
      <c r="Z17" s="18" t="s">
        <v>3023</v>
      </c>
      <c r="AA17" s="18" t="s">
        <v>245</v>
      </c>
      <c r="AB17" s="18" t="s">
        <v>246</v>
      </c>
      <c r="AC17" s="18" t="s">
        <v>29</v>
      </c>
    </row>
    <row r="18" spans="3:52" ht="19.5" customHeight="1" x14ac:dyDescent="0.25">
      <c r="C18" s="512" t="s">
        <v>254</v>
      </c>
      <c r="D18" s="512"/>
      <c r="E18" s="512"/>
      <c r="F18" s="512"/>
      <c r="G18" s="512"/>
      <c r="H18" s="512"/>
      <c r="I18" s="512"/>
      <c r="J18" s="512"/>
      <c r="K18" s="512"/>
      <c r="L18" s="512"/>
      <c r="M18" s="512"/>
      <c r="N18" s="512"/>
      <c r="O18" s="512"/>
      <c r="P18" s="512"/>
      <c r="Q18" s="512"/>
      <c r="R18" s="512"/>
      <c r="T18" s="101">
        <v>110</v>
      </c>
      <c r="U18" s="241">
        <f>IF('DATOS DEL PROYECTO'!$I$38="No",IF(DIMENSIONAMIENTO!$G$118=T8,DIMENSIONAMIENTO!$L$118,0),IF(DIMENSIONAMIENTO_2!$G$50=T8,DIMENSIONAMIENTO_2!$L$50,0))</f>
        <v>0</v>
      </c>
      <c r="V18" s="241">
        <f>IF('DATOS DEL PROYECTO'!$I$38="No",IF(DIMENSIONAMIENTO!$G$119=T8,DIMENSIONAMIENTO!$L$119,0),IF(DIMENSIONAMIENTO_2!$G$51=T8,DIMENSIONAMIENTO_2!$L$51,0))</f>
        <v>0</v>
      </c>
      <c r="W18" s="241">
        <f>IF('DATOS DEL PROYECTO'!$I$38="No",IF(DIMENSIONAMIENTO!$G$120=T8,DIMENSIONAMIENTO!$L$120,0),IF(DIMENSIONAMIENTO_2!$G$52=T8,DIMENSIONAMIENTO_2!$L$52,0))</f>
        <v>0</v>
      </c>
      <c r="X18" s="241">
        <f>IF('DATOS DEL PROYECTO'!$I$38="No",IF(DIMENSIONAMIENTO!$G$121=T8,DIMENSIONAMIENTO!$L$121,0),IF(DIMENSIONAMIENTO_2!$G$53=T8,DIMENSIONAMIENTO_2!$L$53,0))</f>
        <v>0</v>
      </c>
      <c r="Y18" s="241">
        <f>IF('DATOS DEL PROYECTO'!$I$38="No",IF(DIMENSIONAMIENTO!$G$122=T8,DIMENSIONAMIENTO!$L$122,0),IF(DIMENSIONAMIENTO_2!$G$54=T8,DIMENSIONAMIENTO_2!$L$54,0))</f>
        <v>0</v>
      </c>
      <c r="Z18" s="241">
        <f>IF('DATOS DEL PROYECTO'!$I$38="No",IF(DIMENSIONAMIENTO!$G$123=T8,DIMENSIONAMIENTO!$L$123,0),IF(DIMENSIONAMIENTO_2!$G$55=T8,DIMENSIONAMIENTO_2!$L$55,0))</f>
        <v>0</v>
      </c>
      <c r="AA18" s="241">
        <f>IF('DATOS DEL PROYECTO'!$I$38="No",IF(DIMENSIONAMIENTO!$G$130=T8,DIMENSIONAMIENTO!$J$132,0),IF(DIMENSIONAMIENTO_2!$G$62=T8,DIMENSIONAMIENTO_2!$J$64,0))</f>
        <v>0</v>
      </c>
      <c r="AB18" s="241">
        <f>IF('DATOS DEL PROYECTO'!$I$38="No",IF(DIMENSIONAMIENTO!$G$140=T8,DIMENSIONAMIENTO!$J$140,0),IF(DIMENSIONAMIENTO_2!$G$72=T8,DIMENSIONAMIENTO_2!$J$72,0))</f>
        <v>0</v>
      </c>
      <c r="AC18" s="241">
        <f t="shared" ref="AC18:AC23" si="1">SUM(U18:AB18)</f>
        <v>0</v>
      </c>
    </row>
    <row r="19" spans="3:52" x14ac:dyDescent="0.25">
      <c r="C19" s="136" t="s">
        <v>255</v>
      </c>
      <c r="D19" s="136" t="s">
        <v>256</v>
      </c>
      <c r="E19" s="136" t="s">
        <v>257</v>
      </c>
      <c r="F19" s="136" t="s">
        <v>258</v>
      </c>
      <c r="G19" s="136" t="s">
        <v>173</v>
      </c>
      <c r="H19" s="136" t="s">
        <v>259</v>
      </c>
      <c r="I19" s="136" t="s">
        <v>260</v>
      </c>
      <c r="J19" s="136" t="s">
        <v>127</v>
      </c>
      <c r="K19" s="136" t="s">
        <v>127</v>
      </c>
      <c r="L19" s="136" t="s">
        <v>127</v>
      </c>
      <c r="M19" s="136" t="s">
        <v>127</v>
      </c>
      <c r="N19" s="136" t="s">
        <v>127</v>
      </c>
      <c r="O19" s="136" t="s">
        <v>127</v>
      </c>
      <c r="P19" s="136" t="s">
        <v>127</v>
      </c>
      <c r="Q19" s="136" t="s">
        <v>127</v>
      </c>
      <c r="R19" s="136" t="s">
        <v>127</v>
      </c>
      <c r="T19" s="101">
        <v>160</v>
      </c>
      <c r="U19" s="241">
        <f>IF('DATOS DEL PROYECTO'!$I$38="No",IF(DIMENSIONAMIENTO!$G$118=T9,DIMENSIONAMIENTO!$L$118,0),IF(DIMENSIONAMIENTO_2!$G$50=T9,DIMENSIONAMIENTO_2!$L$50,0))</f>
        <v>0</v>
      </c>
      <c r="V19" s="241">
        <f>IF('DATOS DEL PROYECTO'!$I$38="No",IF(DIMENSIONAMIENTO!$G$119=T9,DIMENSIONAMIENTO!$L$119,0),IF(DIMENSIONAMIENTO_2!$G$51=T9,DIMENSIONAMIENTO_2!$L$51,0))</f>
        <v>0</v>
      </c>
      <c r="W19" s="241">
        <f>IF('DATOS DEL PROYECTO'!$I$38="No",IF(DIMENSIONAMIENTO!$G$120=T9,DIMENSIONAMIENTO!$L$120,0),IF(DIMENSIONAMIENTO_2!$G$52=T9,DIMENSIONAMIENTO_2!$L$52,0))</f>
        <v>0</v>
      </c>
      <c r="X19" s="241">
        <f>IF('DATOS DEL PROYECTO'!$I$38="No",IF(DIMENSIONAMIENTO!$G$121=T9,DIMENSIONAMIENTO!$L$121,0),IF(DIMENSIONAMIENTO_2!$G$53=T9,DIMENSIONAMIENTO_2!$L$53,0))</f>
        <v>0</v>
      </c>
      <c r="Y19" s="241">
        <f>IF('DATOS DEL PROYECTO'!$I$38="No",IF(DIMENSIONAMIENTO!$G$122=T9,DIMENSIONAMIENTO!$L$122,0),IF(DIMENSIONAMIENTO_2!$G$54=T9,DIMENSIONAMIENTO_2!$L$54,0))</f>
        <v>0</v>
      </c>
      <c r="Z19" s="241">
        <f>IF('DATOS DEL PROYECTO'!$I$38="No",IF(DIMENSIONAMIENTO!$G$123=T9,DIMENSIONAMIENTO!$L$123,0),IF(DIMENSIONAMIENTO_2!$G$55=T9,DIMENSIONAMIENTO_2!$L$55,0))</f>
        <v>0</v>
      </c>
      <c r="AA19" s="241">
        <f>IF('DATOS DEL PROYECTO'!$I$38="No",IF(DIMENSIONAMIENTO!$G$130=T9,DIMENSIONAMIENTO!$J$132,0),IF(DIMENSIONAMIENTO_2!$G$62=T9,DIMENSIONAMIENTO_2!$J$64,0))</f>
        <v>0</v>
      </c>
      <c r="AB19" s="241">
        <f>IF('DATOS DEL PROYECTO'!$I$38="No",IF(DIMENSIONAMIENTO!$G$140=T9,DIMENSIONAMIENTO!$J$140,0),IF(DIMENSIONAMIENTO_2!$G$72=T9,DIMENSIONAMIENTO_2!$J$72,0))</f>
        <v>0</v>
      </c>
      <c r="AC19" s="241">
        <f t="shared" si="1"/>
        <v>0</v>
      </c>
    </row>
    <row r="20" spans="3:52" x14ac:dyDescent="0.25">
      <c r="C20" s="136"/>
      <c r="D20" s="136"/>
      <c r="E20" s="136"/>
      <c r="F20" s="136"/>
      <c r="G20" s="136"/>
      <c r="H20" s="136"/>
      <c r="I20" s="136"/>
      <c r="J20" s="136" t="s">
        <v>3018</v>
      </c>
      <c r="K20" s="136" t="s">
        <v>3019</v>
      </c>
      <c r="L20" s="136" t="s">
        <v>3020</v>
      </c>
      <c r="M20" s="136" t="s">
        <v>3021</v>
      </c>
      <c r="N20" s="136" t="s">
        <v>3022</v>
      </c>
      <c r="O20" s="136" t="s">
        <v>3023</v>
      </c>
      <c r="P20" s="136" t="s">
        <v>245</v>
      </c>
      <c r="Q20" s="136" t="s">
        <v>246</v>
      </c>
      <c r="R20" s="136" t="s">
        <v>29</v>
      </c>
      <c r="T20" s="101">
        <v>200</v>
      </c>
      <c r="U20" s="241">
        <f>IF('DATOS DEL PROYECTO'!$I$38="No",IF(DIMENSIONAMIENTO!$G$118=T10,DIMENSIONAMIENTO!$L$118,0),IF(DIMENSIONAMIENTO_2!$G$50=T10,DIMENSIONAMIENTO_2!$L$50,0))</f>
        <v>0</v>
      </c>
      <c r="V20" s="241">
        <f>IF('DATOS DEL PROYECTO'!$I$38="No",IF(DIMENSIONAMIENTO!$G$119=T10,DIMENSIONAMIENTO!$L$119,0),IF(DIMENSIONAMIENTO_2!$G$51=T10,DIMENSIONAMIENTO_2!$L$51,0))</f>
        <v>0</v>
      </c>
      <c r="W20" s="241">
        <f>IF('DATOS DEL PROYECTO'!$I$38="No",IF(DIMENSIONAMIENTO!$G$120=T10,DIMENSIONAMIENTO!$L$120,0),IF(DIMENSIONAMIENTO_2!$G$52=T10,DIMENSIONAMIENTO_2!$L$52,0))</f>
        <v>0</v>
      </c>
      <c r="X20" s="241">
        <f>IF('DATOS DEL PROYECTO'!$I$38="No",IF(DIMENSIONAMIENTO!$G$121=T10,DIMENSIONAMIENTO!$L$121,0),IF(DIMENSIONAMIENTO_2!$G$53=T10,DIMENSIONAMIENTO_2!$L$53,0))</f>
        <v>0</v>
      </c>
      <c r="Y20" s="241">
        <f>IF('DATOS DEL PROYECTO'!$I$38="No",IF(DIMENSIONAMIENTO!$G$122=T10,DIMENSIONAMIENTO!$L$122,0),IF(DIMENSIONAMIENTO_2!$G$54=T10,DIMENSIONAMIENTO_2!$L$54,0))</f>
        <v>0</v>
      </c>
      <c r="Z20" s="241">
        <f>IF('DATOS DEL PROYECTO'!$I$38="No",IF(DIMENSIONAMIENTO!$G$123=T10,DIMENSIONAMIENTO!$L$123,0),IF(DIMENSIONAMIENTO_2!$G$55=T10,DIMENSIONAMIENTO_2!$L$55,0))</f>
        <v>0</v>
      </c>
      <c r="AA20" s="241">
        <f>IF('DATOS DEL PROYECTO'!$I$38="No",IF(DIMENSIONAMIENTO!$G$130=T10,DIMENSIONAMIENTO!$J$132,0),IF(DIMENSIONAMIENTO_2!$G$62=T10,DIMENSIONAMIENTO_2!$J$64,0))</f>
        <v>0</v>
      </c>
      <c r="AB20" s="241">
        <f>IF('DATOS DEL PROYECTO'!$I$38="No",IF(DIMENSIONAMIENTO!$G$140=T10,DIMENSIONAMIENTO!$J$140,0),IF(DIMENSIONAMIENTO_2!$G$72=T10,DIMENSIONAMIENTO_2!$J$72,0))</f>
        <v>0</v>
      </c>
      <c r="AC20" s="241">
        <f t="shared" si="1"/>
        <v>0</v>
      </c>
    </row>
    <row r="21" spans="3:52" x14ac:dyDescent="0.25">
      <c r="C21" s="8">
        <v>110</v>
      </c>
      <c r="D21" s="8">
        <v>100</v>
      </c>
      <c r="E21" s="14">
        <f t="shared" ref="E21:E26" si="2">AC8</f>
        <v>0</v>
      </c>
      <c r="F21" s="15">
        <f t="shared" ref="F21:F26" si="3">(AC18+E21*2)/D21</f>
        <v>0</v>
      </c>
      <c r="G21" s="16">
        <v>2900090</v>
      </c>
      <c r="H21" s="16" t="s">
        <v>3015</v>
      </c>
      <c r="I21" s="16">
        <v>2901030</v>
      </c>
      <c r="J21" s="16">
        <f>IF('DATOS DEL PROYECTO'!$I$38="No",IF(DIMENSIONAMIENTO!$G118="SAN - 2""",DIMENSIONAMIENTO!$L118,0),IF(DIMENSIONAMIENTO_2!$G50="SAN - 2""",DIMENSIONAMIENTO_2!$L50,0))</f>
        <v>0</v>
      </c>
      <c r="K21" s="16">
        <f>IF('DATOS DEL PROYECTO'!$I$38="No",IF(DIMENSIONAMIENTO!$G119="SAN - 2""",DIMENSIONAMIENTO!$L119,0),IF(DIMENSIONAMIENTO_2!$G51="SAN - 2""",DIMENSIONAMIENTO_2!$L51,0))</f>
        <v>0</v>
      </c>
      <c r="L21" s="16">
        <f>IF('DATOS DEL PROYECTO'!$I$38="No",IF(DIMENSIONAMIENTO!$G120="SAN - 2""",DIMENSIONAMIENTO!$L120,0),IF(DIMENSIONAMIENTO_2!$G52="SAN - 2""",DIMENSIONAMIENTO_2!$L52,0))</f>
        <v>0</v>
      </c>
      <c r="M21" s="16">
        <f>IF('DATOS DEL PROYECTO'!$I$38="No",IF(DIMENSIONAMIENTO!$G121="SAN - 2""",DIMENSIONAMIENTO!$L121,0),IF(DIMENSIONAMIENTO_2!$G53="SAN - 2""",DIMENSIONAMIENTO_2!$L53,0))</f>
        <v>0</v>
      </c>
      <c r="N21" s="16">
        <f>IF('DATOS DEL PROYECTO'!$I$38="No",IF(DIMENSIONAMIENTO!$G122="SAN - 2""",DIMENSIONAMIENTO!$L122,0),IF(DIMENSIONAMIENTO_2!$G54="SAN - 2""",DIMENSIONAMIENTO_2!$L54,0))</f>
        <v>0</v>
      </c>
      <c r="O21" s="16">
        <f>IF('DATOS DEL PROYECTO'!$I$38="No",IF(DIMENSIONAMIENTO!$G123="SAN - 2""",DIMENSIONAMIENTO!$L123,0),IF(DIMENSIONAMIENTO_2!$G55="SAN - 2""",DIMENSIONAMIENTO_2!$L55,0))</f>
        <v>0</v>
      </c>
      <c r="P21" s="16">
        <f>IF('DATOS DEL PROYECTO'!$I$38="No",IF(DIMENSIONAMIENTO!$G130="SAN - 2""",DIMENSIONAMIENTO!$J132,0),IF(DIMENSIONAMIENTO_2!$G62="SAN - 2""",DIMENSIONAMIENTO_2!$J64,0))</f>
        <v>0</v>
      </c>
      <c r="Q21" s="16">
        <f>IF('DATOS DEL PROYECTO'!$I$38="No",IF(DIMENSIONAMIENTO!$G140="SAN - 2""",DIMENSIONAMIENTO!$J140,0),IF(DIMENSIONAMIENTO_2!$G72="SAN - 2""",DIMENSIONAMIENTO_2!$J72,0))</f>
        <v>0</v>
      </c>
      <c r="R21" s="16">
        <f t="shared" ref="R21:R28" si="4">SUM(J21:Q21)</f>
        <v>0</v>
      </c>
      <c r="T21" s="101">
        <v>250</v>
      </c>
      <c r="U21" s="241">
        <f>IF('DATOS DEL PROYECTO'!$I$38="No",IF(DIMENSIONAMIENTO!$G$118=T11,DIMENSIONAMIENTO!$L$118,0),IF(DIMENSIONAMIENTO_2!$G$50=T11,DIMENSIONAMIENTO_2!$L$50,0))</f>
        <v>0</v>
      </c>
      <c r="V21" s="241">
        <f>IF('DATOS DEL PROYECTO'!$I$38="No",IF(DIMENSIONAMIENTO!$G$119=T11,DIMENSIONAMIENTO!$L$119,0),IF(DIMENSIONAMIENTO_2!$G$51=T11,DIMENSIONAMIENTO_2!$L$51,0))</f>
        <v>0</v>
      </c>
      <c r="W21" s="241">
        <f>IF('DATOS DEL PROYECTO'!$I$38="No",IF(DIMENSIONAMIENTO!$G$120=T11,DIMENSIONAMIENTO!$L$120,0),IF(DIMENSIONAMIENTO_2!$G$52=T11,DIMENSIONAMIENTO_2!$L$52,0))</f>
        <v>0</v>
      </c>
      <c r="X21" s="241">
        <f>IF('DATOS DEL PROYECTO'!$I$38="No",IF(DIMENSIONAMIENTO!$G$121=T11,DIMENSIONAMIENTO!$L$121,0),IF(DIMENSIONAMIENTO_2!$G$53=T11,DIMENSIONAMIENTO_2!$L$53,0))</f>
        <v>0</v>
      </c>
      <c r="Y21" s="241">
        <f>IF('DATOS DEL PROYECTO'!$I$38="No",IF(DIMENSIONAMIENTO!$G$122=T11,DIMENSIONAMIENTO!$L$122,0),IF(DIMENSIONAMIENTO_2!$G$54=T11,DIMENSIONAMIENTO_2!$L$54,0))</f>
        <v>0</v>
      </c>
      <c r="Z21" s="241">
        <f>IF('DATOS DEL PROYECTO'!$I$38="No",IF(DIMENSIONAMIENTO!$G$123=T11,DIMENSIONAMIENTO!$L$123,0),IF(DIMENSIONAMIENTO_2!$G$55=T11,DIMENSIONAMIENTO_2!$L$55,0))</f>
        <v>0</v>
      </c>
      <c r="AA21" s="241">
        <f>IF('DATOS DEL PROYECTO'!$I$38="No",IF(DIMENSIONAMIENTO!$G$130=T11,DIMENSIONAMIENTO!$J$132,0),IF(DIMENSIONAMIENTO_2!$G$62=T11,DIMENSIONAMIENTO_2!$J$64,0))</f>
        <v>0</v>
      </c>
      <c r="AB21" s="241">
        <f>IF('DATOS DEL PROYECTO'!$I$38="No",IF(DIMENSIONAMIENTO!$G$140=T11,DIMENSIONAMIENTO!$J$140,0),IF(DIMENSIONAMIENTO_2!$G$72=T11,DIMENSIONAMIENTO_2!$J$72,0))</f>
        <v>0</v>
      </c>
      <c r="AC21" s="241">
        <f t="shared" si="1"/>
        <v>0</v>
      </c>
    </row>
    <row r="22" spans="3:52" x14ac:dyDescent="0.25">
      <c r="C22" s="8">
        <v>160</v>
      </c>
      <c r="D22" s="8">
        <v>45</v>
      </c>
      <c r="E22" s="14">
        <f t="shared" si="2"/>
        <v>0</v>
      </c>
      <c r="F22" s="15">
        <f t="shared" si="3"/>
        <v>0</v>
      </c>
      <c r="G22" s="16">
        <v>2900092</v>
      </c>
      <c r="H22" s="16" t="s">
        <v>3016</v>
      </c>
      <c r="I22" s="16">
        <v>2901033</v>
      </c>
      <c r="J22" s="16">
        <f>IF('DATOS DEL PROYECTO'!$I$38="No",IF(DIMENSIONAMIENTO!$G118="SAN - 3""",DIMENSIONAMIENTO!$L118,0),IF(DIMENSIONAMIENTO_2!$G50="SAN - 3""",DIMENSIONAMIENTO_2!$L50,0))</f>
        <v>0</v>
      </c>
      <c r="K22" s="16">
        <f>IF('DATOS DEL PROYECTO'!$I$38="No",IF(DIMENSIONAMIENTO!$G119="SAN - 3""",DIMENSIONAMIENTO!$L119,0),IF(DIMENSIONAMIENTO_2!$G51="SAN - 3""",DIMENSIONAMIENTO_2!$L51,0))</f>
        <v>0</v>
      </c>
      <c r="L22" s="16">
        <f>IF('DATOS DEL PROYECTO'!$I$38="No",IF(DIMENSIONAMIENTO!$G120="SAN - 3""",DIMENSIONAMIENTO!$L120,0),IF(DIMENSIONAMIENTO_2!$G52="SAN - 3""",DIMENSIONAMIENTO_2!$L52,0))</f>
        <v>0</v>
      </c>
      <c r="M22" s="16">
        <f>IF('DATOS DEL PROYECTO'!$I$38="No",IF(DIMENSIONAMIENTO!$G121="SAN - 3""",DIMENSIONAMIENTO!$L121,0),IF(DIMENSIONAMIENTO_2!$G53="SAN - 3""",DIMENSIONAMIENTO_2!$L53,0))</f>
        <v>0</v>
      </c>
      <c r="N22" s="16">
        <f>IF('DATOS DEL PROYECTO'!$I$38="No",IF(DIMENSIONAMIENTO!$G122="SAN - 3""",DIMENSIONAMIENTO!$L122,0),IF(DIMENSIONAMIENTO_2!$G54="SAN - 3""",DIMENSIONAMIENTO_2!$L54,0))</f>
        <v>0</v>
      </c>
      <c r="O22" s="16">
        <f>IF('DATOS DEL PROYECTO'!$I$38="No",IF(DIMENSIONAMIENTO!$G123="SAN - 3""",DIMENSIONAMIENTO!$L123,0),IF(DIMENSIONAMIENTO_2!$G55="SAN - 3""",DIMENSIONAMIENTO_2!$L55,0))</f>
        <v>0</v>
      </c>
      <c r="P22" s="16">
        <f>IF('DATOS DEL PROYECTO'!$I$38="No",IF(DIMENSIONAMIENTO!$G130="SAN - 3""",DIMENSIONAMIENTO!$J132,0),IF(DIMENSIONAMIENTO_2!$G62="SAN - 3""",DIMENSIONAMIENTO_2!$J64,0))</f>
        <v>0</v>
      </c>
      <c r="Q22" s="16">
        <f>IF('DATOS DEL PROYECTO'!$I$38="No",IF(DIMENSIONAMIENTO!$G140="SAN - 3""",DIMENSIONAMIENTO!$J140,0),IF(DIMENSIONAMIENTO_2!$G72="SAN - 3""",DIMENSIONAMIENTO_2!$J72,0))</f>
        <v>0</v>
      </c>
      <c r="R22" s="16">
        <f t="shared" si="4"/>
        <v>0</v>
      </c>
      <c r="T22" s="101">
        <v>315</v>
      </c>
      <c r="U22" s="241">
        <f>IF('DATOS DEL PROYECTO'!$I$38="No",IF(DIMENSIONAMIENTO!$G$118=T12,DIMENSIONAMIENTO!$L$118,0),IF(DIMENSIONAMIENTO_2!$G$50=T12,DIMENSIONAMIENTO_2!$L$50,0))</f>
        <v>0</v>
      </c>
      <c r="V22" s="241">
        <f>IF('DATOS DEL PROYECTO'!$I$38="No",IF(DIMENSIONAMIENTO!$G$119=T12,DIMENSIONAMIENTO!$L$119,0),IF(DIMENSIONAMIENTO_2!$G$51=T12,DIMENSIONAMIENTO_2!$L$51,0))</f>
        <v>0</v>
      </c>
      <c r="W22" s="241">
        <f>IF('DATOS DEL PROYECTO'!$I$38="No",IF(DIMENSIONAMIENTO!$G$120=T12,DIMENSIONAMIENTO!$L$120,0),IF(DIMENSIONAMIENTO_2!$G$52=T12,DIMENSIONAMIENTO_2!$L$52,0))</f>
        <v>0</v>
      </c>
      <c r="X22" s="241">
        <f>IF('DATOS DEL PROYECTO'!$I$38="No",IF(DIMENSIONAMIENTO!$G$121=T12,DIMENSIONAMIENTO!$L$121,0),IF(DIMENSIONAMIENTO_2!$G$53=T12,DIMENSIONAMIENTO_2!$L$53,0))</f>
        <v>0</v>
      </c>
      <c r="Y22" s="241">
        <f>IF('DATOS DEL PROYECTO'!$I$38="No",IF(DIMENSIONAMIENTO!$G$122=T12,DIMENSIONAMIENTO!$L$122,0),IF(DIMENSIONAMIENTO_2!$G$54=T12,DIMENSIONAMIENTO_2!$L$54,0))</f>
        <v>0</v>
      </c>
      <c r="Z22" s="241">
        <f>IF('DATOS DEL PROYECTO'!$I$38="No",IF(DIMENSIONAMIENTO!$G$123=T12,DIMENSIONAMIENTO!$L$123,0),IF(DIMENSIONAMIENTO_2!$G$55=T12,DIMENSIONAMIENTO_2!$L$55,0))</f>
        <v>0</v>
      </c>
      <c r="AA22" s="241">
        <f>IF('DATOS DEL PROYECTO'!$I$38="No",IF(DIMENSIONAMIENTO!$G$130=T12,DIMENSIONAMIENTO!$J$132,0),IF(DIMENSIONAMIENTO_2!$G$62=T12,DIMENSIONAMIENTO_2!$J$64,0))</f>
        <v>0</v>
      </c>
      <c r="AB22" s="241">
        <f>IF('DATOS DEL PROYECTO'!$I$38="No",IF(DIMENSIONAMIENTO!$G$140=T12,DIMENSIONAMIENTO!$J$140,0),IF(DIMENSIONAMIENTO_2!$G$72=T12,DIMENSIONAMIENTO_2!$J$72,0))</f>
        <v>0</v>
      </c>
      <c r="AC22" s="241">
        <f t="shared" si="1"/>
        <v>0</v>
      </c>
    </row>
    <row r="23" spans="3:52" x14ac:dyDescent="0.25">
      <c r="C23" s="8">
        <v>200</v>
      </c>
      <c r="D23" s="8">
        <v>30</v>
      </c>
      <c r="E23" s="14">
        <f t="shared" si="2"/>
        <v>0</v>
      </c>
      <c r="F23" s="15">
        <f t="shared" si="3"/>
        <v>0</v>
      </c>
      <c r="G23" s="16">
        <v>2900094</v>
      </c>
      <c r="H23" s="16" t="s">
        <v>3017</v>
      </c>
      <c r="I23" s="16">
        <v>2902965</v>
      </c>
      <c r="J23" s="16">
        <f>IF('DATOS DEL PROYECTO'!$I$38="No",IF(OR(DIMENSIONAMIENTO!$G118="SAN - 2""",DIMENSIONAMIENTO!$G118="SAN - 3"""),DIMENSIONAMIENTO!$L118,0),IF(OR(DIMENSIONAMIENTO_2!$G50="SAN - 2""",DIMENSIONAMIENTO_2!$G50="SAN - 3"""),DIMENSIONAMIENTO_2!$L50,0))</f>
        <v>0</v>
      </c>
      <c r="K23" s="16">
        <f>IF('DATOS DEL PROYECTO'!$I$38="No",IF(OR(DIMENSIONAMIENTO!$G119="SAN - 2""",DIMENSIONAMIENTO!$G119="SAN - 3"""),DIMENSIONAMIENTO!$L119,0),IF(OR(DIMENSIONAMIENTO_2!$G51="SAN - 2""",DIMENSIONAMIENTO_2!$G51="SAN - 3"""),DIMENSIONAMIENTO_2!$L51,0))</f>
        <v>0</v>
      </c>
      <c r="L23" s="16">
        <f>IF('DATOS DEL PROYECTO'!$I$38="No",IF(OR(DIMENSIONAMIENTO!$G120="SAN - 2""",DIMENSIONAMIENTO!$G120="SAN - 3"""),DIMENSIONAMIENTO!$L120,0),IF(OR(DIMENSIONAMIENTO_2!$G52="SAN - 2""",DIMENSIONAMIENTO_2!$G52="SAN - 3"""),DIMENSIONAMIENTO_2!$L52,0))</f>
        <v>0</v>
      </c>
      <c r="M23" s="16">
        <f>IF('DATOS DEL PROYECTO'!$I$38="No",IF(OR(DIMENSIONAMIENTO!$G121="SAN - 2""",DIMENSIONAMIENTO!$G121="SAN - 3"""),DIMENSIONAMIENTO!$L121,0),IF(OR(DIMENSIONAMIENTO_2!$G53="SAN - 2""",DIMENSIONAMIENTO_2!$G53="SAN - 3"""),DIMENSIONAMIENTO_2!$L53,0))</f>
        <v>0</v>
      </c>
      <c r="N23" s="16">
        <f>IF('DATOS DEL PROYECTO'!$I$38="No",IF(OR(DIMENSIONAMIENTO!$G122="SAN - 2""",DIMENSIONAMIENTO!$G122="SAN - 3"""),DIMENSIONAMIENTO!$L122,0),IF(OR(DIMENSIONAMIENTO_2!$G54="SAN - 2""",DIMENSIONAMIENTO_2!$G54="SAN - 3"""),DIMENSIONAMIENTO_2!$L54,0))</f>
        <v>0</v>
      </c>
      <c r="O23" s="16">
        <f>IF('DATOS DEL PROYECTO'!$I$38="No",IF(OR(DIMENSIONAMIENTO!$G123="SAN - 2""",DIMENSIONAMIENTO!$G123="SAN - 3"""),DIMENSIONAMIENTO!$L123,0),IF(OR(DIMENSIONAMIENTO_2!$G55="SAN - 2""",DIMENSIONAMIENTO_2!$G55="SAN - 3"""),DIMENSIONAMIENTO_2!$L55,0))</f>
        <v>0</v>
      </c>
      <c r="P23" s="16">
        <f>IF('DATOS DEL PROYECTO'!$I$38="No",IF(OR(DIMENSIONAMIENTO!$G130="SAN - 2""",DIMENSIONAMIENTO!$G130="SAN - 3"""),DIMENSIONAMIENTO!$J132,0),IF(OR(DIMENSIONAMIENTO_2!$G62="SAN - 2""",DIMENSIONAMIENTO_2!$G62="SAN - 3"""),DIMENSIONAMIENTO_2!$J64,0))</f>
        <v>0</v>
      </c>
      <c r="Q23" s="16">
        <f>IF('DATOS DEL PROYECTO'!$I$38="No",IF(OR(DIMENSIONAMIENTO!$G140="SAN - 2""",DIMENSIONAMIENTO!$G140="SAN - 3"""),DIMENSIONAMIENTO!$J140,0),IF(OR(DIMENSIONAMIENTO_2!$G72="SAN - 2""",DIMENSIONAMIENTO_2!$G72="SAN - 3"""),DIMENSIONAMIENTO_2!$J72,0))</f>
        <v>0</v>
      </c>
      <c r="R23" s="16">
        <f>SUM(J23:Q23)</f>
        <v>0</v>
      </c>
      <c r="T23" s="101">
        <v>355</v>
      </c>
      <c r="U23" s="241">
        <f>IF('DATOS DEL PROYECTO'!$I$38="No",IF(DIMENSIONAMIENTO!$G$118=T13,DIMENSIONAMIENTO!$L$118,0),IF(DIMENSIONAMIENTO_2!$G$50=T13,DIMENSIONAMIENTO_2!$L$50,0))</f>
        <v>0</v>
      </c>
      <c r="V23" s="241">
        <f>IF('DATOS DEL PROYECTO'!$I$38="No",IF(DIMENSIONAMIENTO!$G$119=T13,DIMENSIONAMIENTO!$L$119,0),IF(DIMENSIONAMIENTO_2!$G$51=T13,DIMENSIONAMIENTO_2!$L$51,0))</f>
        <v>0</v>
      </c>
      <c r="W23" s="241">
        <f>IF('DATOS DEL PROYECTO'!$I$38="No",IF(DIMENSIONAMIENTO!$G$120=T13,DIMENSIONAMIENTO!$L$120,0),IF(DIMENSIONAMIENTO_2!$G$52=T13,DIMENSIONAMIENTO_2!$L$52,0))</f>
        <v>0</v>
      </c>
      <c r="X23" s="241">
        <f>IF('DATOS DEL PROYECTO'!$I$38="No",IF(DIMENSIONAMIENTO!$G$121=T13,DIMENSIONAMIENTO!$L$121,0),IF(DIMENSIONAMIENTO_2!$G$53=T13,DIMENSIONAMIENTO_2!$L$53,0))</f>
        <v>0</v>
      </c>
      <c r="Y23" s="241">
        <f>IF('DATOS DEL PROYECTO'!$I$38="No",IF(DIMENSIONAMIENTO!$G$122=T13,DIMENSIONAMIENTO!$L$122,0),IF(DIMENSIONAMIENTO_2!$G$54=T13,DIMENSIONAMIENTO_2!$L$54,0))</f>
        <v>0</v>
      </c>
      <c r="Z23" s="241">
        <f>IF('DATOS DEL PROYECTO'!$I$38="No",IF(DIMENSIONAMIENTO!$G$123=T13,DIMENSIONAMIENTO!$L$123,0),IF(DIMENSIONAMIENTO_2!$G$55=T13,DIMENSIONAMIENTO_2!$L$55,0))</f>
        <v>0</v>
      </c>
      <c r="AA23" s="241">
        <f>IF('DATOS DEL PROYECTO'!$I$38="No",IF(DIMENSIONAMIENTO!$G$130=T13,DIMENSIONAMIENTO!$J$132,0),IF(DIMENSIONAMIENTO_2!$G$62=T13,DIMENSIONAMIENTO_2!$J$64,0))</f>
        <v>0</v>
      </c>
      <c r="AB23" s="241">
        <f>IF('DATOS DEL PROYECTO'!$I$38="No",IF(DIMENSIONAMIENTO!$G$140=T13,DIMENSIONAMIENTO!$J$140,0),IF(DIMENSIONAMIENTO_2!$G$72=T13,DIMENSIONAMIENTO_2!$J$72,0))</f>
        <v>0</v>
      </c>
      <c r="AC23" s="241">
        <f t="shared" si="1"/>
        <v>0</v>
      </c>
    </row>
    <row r="24" spans="3:52" ht="15" customHeight="1" x14ac:dyDescent="0.25">
      <c r="C24" s="8">
        <v>250</v>
      </c>
      <c r="D24" s="8">
        <v>20</v>
      </c>
      <c r="E24" s="14">
        <f t="shared" si="2"/>
        <v>0</v>
      </c>
      <c r="F24" s="15">
        <f t="shared" si="3"/>
        <v>0</v>
      </c>
      <c r="G24" s="16">
        <v>2900081</v>
      </c>
      <c r="H24" s="16" t="s">
        <v>261</v>
      </c>
      <c r="I24" s="16">
        <v>2903092</v>
      </c>
      <c r="J24" s="16">
        <f>IF('DATOS DEL PROYECTO'!$I$38="No",IF(OR(DIMENSIONAMIENTO!$G118=110,DIMENSIONAMIENTO!$G118="SAN - 2""",DIMENSIONAMIENTO!$G118="SAN - 3"""),DIMENSIONAMIENTO!$L118,0),IF(OR(DIMENSIONAMIENTO_2!$G50=110,DIMENSIONAMIENTO_2!$G50="SAN - 2""",DIMENSIONAMIENTO_2!$G50="SAN - 3"""),DIMENSIONAMIENTO_2!$L50,0))</f>
        <v>0</v>
      </c>
      <c r="K24" s="16">
        <f>IF('DATOS DEL PROYECTO'!$I$38="No",IF(OR(DIMENSIONAMIENTO!$G119=110,DIMENSIONAMIENTO!$G119="SAN - 2""",DIMENSIONAMIENTO!$G119="SAN - 3"""),DIMENSIONAMIENTO!$L119,0),IF(OR(DIMENSIONAMIENTO_2!$G51=110,DIMENSIONAMIENTO_2!$G51="SAN - 2""",DIMENSIONAMIENTO_2!$G51="SAN - 3"""),DIMENSIONAMIENTO_2!$L51,0))</f>
        <v>0</v>
      </c>
      <c r="L24" s="16">
        <f>IF('DATOS DEL PROYECTO'!$I$38="No",IF(OR(DIMENSIONAMIENTO!$G120=110,DIMENSIONAMIENTO!$G120="SAN - 2""",DIMENSIONAMIENTO!$G120="SAN - 3"""),DIMENSIONAMIENTO!$L120,0),IF(OR(DIMENSIONAMIENTO_2!$G52=110,DIMENSIONAMIENTO_2!$G52="SAN - 2""",DIMENSIONAMIENTO_2!$G52="SAN - 3"""),DIMENSIONAMIENTO_2!$L52,0))</f>
        <v>0</v>
      </c>
      <c r="M24" s="16">
        <f>IF('DATOS DEL PROYECTO'!$I$38="No",IF(OR(DIMENSIONAMIENTO!$G121=110,DIMENSIONAMIENTO!$G121="SAN - 2""",DIMENSIONAMIENTO!$G121="SAN - 3"""),DIMENSIONAMIENTO!$L121,0),IF(OR(DIMENSIONAMIENTO_2!$G53=110,DIMENSIONAMIENTO_2!$G53="SAN - 2""",DIMENSIONAMIENTO_2!$G53="SAN - 3"""),DIMENSIONAMIENTO_2!$L53,0))</f>
        <v>0</v>
      </c>
      <c r="N24" s="16">
        <f>IF('DATOS DEL PROYECTO'!$I$38="No",IF(OR(DIMENSIONAMIENTO!$G122=110,DIMENSIONAMIENTO!$G122="SAN - 2""",DIMENSIONAMIENTO!$G122="SAN - 3"""),DIMENSIONAMIENTO!$L122,0),IF(OR(DIMENSIONAMIENTO_2!$G54=110,DIMENSIONAMIENTO_2!$G54="SAN - 2""",DIMENSIONAMIENTO_2!$G54="SAN - 3"""),DIMENSIONAMIENTO_2!$L54,0))</f>
        <v>0</v>
      </c>
      <c r="O24" s="16">
        <f>IF('DATOS DEL PROYECTO'!$I$38="No",IF(OR(DIMENSIONAMIENTO!$G123=110,DIMENSIONAMIENTO!$G123="SAN - 2""",DIMENSIONAMIENTO!$G123="SAN - 3"""),DIMENSIONAMIENTO!$L123,0),IF(OR(DIMENSIONAMIENTO_2!$G55=110,DIMENSIONAMIENTO_2!$G55="SAN - 2""",DIMENSIONAMIENTO_2!$G55="SAN - 3"""),DIMENSIONAMIENTO_2!$L55,0))</f>
        <v>0</v>
      </c>
      <c r="P24" s="16">
        <f>IF('DATOS DEL PROYECTO'!$I$38="No",IF(OR(DIMENSIONAMIENTO!$G130=110,DIMENSIONAMIENTO!$G123="SAN - 2""",DIMENSIONAMIENTO!$G130="SAN - 3"""),DIMENSIONAMIENTO!$J132,0),IF(OR(DIMENSIONAMIENTO_2!$G62=110,DIMENSIONAMIENTO_2!$G62="SAN - 2""",DIMENSIONAMIENTO_2!$G62="SAN - 3"""),DIMENSIONAMIENTO_2!$J64,0))</f>
        <v>0</v>
      </c>
      <c r="Q24" s="16">
        <f>IF('DATOS DEL PROYECTO'!$I$38="No",IF(OR(DIMENSIONAMIENTO!$G140=110,DIMENSIONAMIENTO!$G123="SAN - 2""",DIMENSIONAMIENTO!$G140="SAN - 3"""),DIMENSIONAMIENTO!$J140,0),IF(OR(DIMENSIONAMIENTO_2!$G72=110,DIMENSIONAMIENTO_2!$G72="SAN - 2""",DIMENSIONAMIENTO_2!$G72="SAN - 3"""),DIMENSIONAMIENTO_2!$J72,0))</f>
        <v>0</v>
      </c>
      <c r="R24" s="16">
        <f>SUM(J24:Q24)</f>
        <v>0</v>
      </c>
      <c r="AP24" s="153" t="s">
        <v>265</v>
      </c>
      <c r="AQ24" s="202" t="s">
        <v>266</v>
      </c>
      <c r="AR24" s="203"/>
      <c r="AS24" s="153" t="s">
        <v>267</v>
      </c>
      <c r="AV24" s="506" t="s">
        <v>268</v>
      </c>
      <c r="AW24" s="118" t="s">
        <v>269</v>
      </c>
      <c r="AX24" s="118">
        <v>600</v>
      </c>
      <c r="AY24" s="118">
        <v>500</v>
      </c>
      <c r="AZ24" s="118">
        <v>2903027</v>
      </c>
    </row>
    <row r="25" spans="3:52" x14ac:dyDescent="0.25">
      <c r="C25" s="8">
        <v>315</v>
      </c>
      <c r="D25" s="8">
        <v>15</v>
      </c>
      <c r="E25" s="14">
        <f t="shared" si="2"/>
        <v>0</v>
      </c>
      <c r="F25" s="15">
        <f t="shared" si="3"/>
        <v>0</v>
      </c>
      <c r="G25" s="16">
        <v>2900083</v>
      </c>
      <c r="H25" s="16" t="s">
        <v>262</v>
      </c>
      <c r="I25" s="16">
        <v>2906463</v>
      </c>
      <c r="J25" s="16">
        <f>IF('DATOS DEL PROYECTO'!$I$38="No",IF(DIMENSIONAMIENTO!$H$81="Aquacell Core",IF(DIMENSIONAMIENTO!$G118=200,DIMENSIONAMIENTO!$L118,0),0),IF(DIMENSIONAMIENTO_2!$H$13="Aquacell Core",IF(DIMENSIONAMIENTO_2!$G50=200,DIMENSIONAMIENTO_2!$L50,0),0))</f>
        <v>0</v>
      </c>
      <c r="K25" s="16">
        <f>IF('DATOS DEL PROYECTO'!$I$38="No",IF(DIMENSIONAMIENTO!$H$81="Aquacell Core",IF(DIMENSIONAMIENTO!$G119=200,DIMENSIONAMIENTO!$L119,0),0),IF(DIMENSIONAMIENTO_2!$H$13="Aquacell Core",IF(DIMENSIONAMIENTO_2!$G51=200,DIMENSIONAMIENTO_2!$L51,0),0))</f>
        <v>0</v>
      </c>
      <c r="L25" s="16">
        <f>IF('DATOS DEL PROYECTO'!$I$38="No",IF(DIMENSIONAMIENTO!$H$81="Aquacell Core",IF(DIMENSIONAMIENTO!$G120=200,DIMENSIONAMIENTO!$L120,0),0),IF(DIMENSIONAMIENTO_2!$H$13="Aquacell Core",IF(DIMENSIONAMIENTO_2!$G52=200,DIMENSIONAMIENTO_2!$L52,0),0))</f>
        <v>0</v>
      </c>
      <c r="M25" s="16">
        <f>IF('DATOS DEL PROYECTO'!$I$38="No",IF(DIMENSIONAMIENTO!$H$81="Aquacell Core",IF(DIMENSIONAMIENTO!$G121=200,DIMENSIONAMIENTO!$L121,0),0),IF(DIMENSIONAMIENTO_2!$H$13="Aquacell Core",IF(DIMENSIONAMIENTO_2!$G53=200,DIMENSIONAMIENTO_2!$L53,0),0))</f>
        <v>0</v>
      </c>
      <c r="N25" s="16">
        <f>IF('DATOS DEL PROYECTO'!$I$38="No",IF(DIMENSIONAMIENTO!$H$81="Aquacell Core",IF(DIMENSIONAMIENTO!$G122=200,DIMENSIONAMIENTO!$L122,0),0),IF(DIMENSIONAMIENTO_2!$H$13="Aquacell Core",IF(DIMENSIONAMIENTO_2!$G54=200,DIMENSIONAMIENTO_2!$L54,0),0))</f>
        <v>0</v>
      </c>
      <c r="O25" s="16">
        <f>IF('DATOS DEL PROYECTO'!$I$38="No",IF(DIMENSIONAMIENTO!$H$81="Aquacell Core",IF(DIMENSIONAMIENTO!$G123=200,DIMENSIONAMIENTO!$L123,0),0),IF(DIMENSIONAMIENTO_2!$H$13="Aquacell Core",IF(DIMENSIONAMIENTO_2!$G55=200,DIMENSIONAMIENTO_2!$L55,0),0))</f>
        <v>0</v>
      </c>
      <c r="P25" s="16">
        <f>IF('DATOS DEL PROYECTO'!$I$38="No",IF(DIMENSIONAMIENTO!$H$81="Aquacell Core",IF(DIMENSIONAMIENTO!$G130=200,DIMENSIONAMIENTO!$J132,0),0),IF(DIMENSIONAMIENTO_2!$H$13="Aquacell Core",IF(DIMENSIONAMIENTO_2!$G62=200,DIMENSIONAMIENTO_2!$J64,0),0))</f>
        <v>0</v>
      </c>
      <c r="Q25" s="16">
        <f>IF('DATOS DEL PROYECTO'!$I$38="No",IF(DIMENSIONAMIENTO!$H$81="Aquacell Core",IF(DIMENSIONAMIENTO!$G140=200,DIMENSIONAMIENTO!$J140,0),0),IF(DIMENSIONAMIENTO_2!$H$13="Aquacell Core",IF(DIMENSIONAMIENTO_2!$G72=200,DIMENSIONAMIENTO_2!$J72,0),0))</f>
        <v>0</v>
      </c>
      <c r="R25" s="16">
        <f>SUM(J25:Q25)</f>
        <v>0</v>
      </c>
      <c r="AP25" s="103" t="str">
        <f>IF('DATOS DEL PROYECTO'!$I$38="No",IF(DIMENSIONAMIENTO!H154&lt;&gt;"",IF(AND(DIMENSIONAMIENTO!H152=1000,DIMENSIONAMIENTO!H153=""),"Especificar Cono",IF(DIMENSIONAMIENTO!H152=1000,(DIMENSIONAMIENTO!H154-0.376-VLOOKUP(DIMENSIONAMIENTO!H153,$AQ$25:$AR$26,2,FALSE))*1000,(DIMENSIONAMIENTO!H154-0.535)*1000)),""),IF(DIMENSIONAMIENTO_2!H86&lt;&gt;"",IF(AND(DIMENSIONAMIENTO_2!H84=1000,DIMENSIONAMIENTO_2!H85=""),"Especificar Cono",IF(DIMENSIONAMIENTO_2!H84=1000,(DIMENSIONAMIENTO_2!H86-0.376-VLOOKUP(DIMENSIONAMIENTO_2!H85,$AQ$25:$AR$26,2,FALSE))*1000,(DIMENSIONAMIENTO_2!H86-0.535)*1000)),""))</f>
        <v/>
      </c>
      <c r="AQ25" s="103" t="s">
        <v>271</v>
      </c>
      <c r="AR25" s="103">
        <v>0.71</v>
      </c>
      <c r="AS25" s="103">
        <v>2903058</v>
      </c>
      <c r="AV25" s="506"/>
      <c r="AW25" s="118" t="s">
        <v>273</v>
      </c>
      <c r="AX25" s="118">
        <v>600</v>
      </c>
      <c r="AY25" s="118">
        <v>1000</v>
      </c>
      <c r="AZ25" s="118">
        <v>2906845</v>
      </c>
    </row>
    <row r="26" spans="3:52" x14ac:dyDescent="0.25">
      <c r="C26" s="8">
        <v>355</v>
      </c>
      <c r="D26" s="8">
        <v>10</v>
      </c>
      <c r="E26" s="14">
        <f t="shared" si="2"/>
        <v>0</v>
      </c>
      <c r="F26" s="15">
        <f t="shared" si="3"/>
        <v>0</v>
      </c>
      <c r="G26" s="16">
        <v>2902493</v>
      </c>
      <c r="H26" s="16" t="s">
        <v>263</v>
      </c>
      <c r="I26" s="16">
        <v>2903066</v>
      </c>
      <c r="J26" s="16">
        <f>IF('DATOS DEL PROYECTO'!$I$38="No",IF(DIMENSIONAMIENTO!$H$81="Aquacell Core",IF(OR(DIMENSIONAMIENTO!$G118=200,DIMENSIONAMIENTO!$G118=250),DIMENSIONAMIENTO!$L118,0),IF(DIMENSIONAMIENTO!$G118=250,DIMENSIONAMIENTO!$L118,0)),IF(DIMENSIONAMIENTO_2!$H$13="Aquacell Core",IF(OR(DIMENSIONAMIENTO_2!$G50=200,DIMENSIONAMIENTO_2!$G50=250),DIMENSIONAMIENTO_2!$L50,0),IF(DIMENSIONAMIENTO_2!$G50=250,DIMENSIONAMIENTO_2!$L50,0)))</f>
        <v>0</v>
      </c>
      <c r="K26" s="16">
        <f>IF('DATOS DEL PROYECTO'!$I$38="No",IF(DIMENSIONAMIENTO!$H$81="Aquacell Core",IF(OR(DIMENSIONAMIENTO!$G119=200,DIMENSIONAMIENTO!$G119=250),DIMENSIONAMIENTO!$L119,0),IF(DIMENSIONAMIENTO!$G119=250,DIMENSIONAMIENTO!$L119,0)),IF(DIMENSIONAMIENTO_2!$H$13="Aquacell Core",IF(OR(DIMENSIONAMIENTO_2!$G51=200,DIMENSIONAMIENTO_2!$G51=250),DIMENSIONAMIENTO_2!$L51,0),IF(DIMENSIONAMIENTO_2!$G51=250,DIMENSIONAMIENTO_2!$L51,0)))</f>
        <v>0</v>
      </c>
      <c r="L26" s="16">
        <f>IF('DATOS DEL PROYECTO'!$I$38="No",IF(DIMENSIONAMIENTO!$H$81="Aquacell Core",IF(OR(DIMENSIONAMIENTO!$G120=200,DIMENSIONAMIENTO!$G120=250),DIMENSIONAMIENTO!$L120,0),IF(DIMENSIONAMIENTO!$G120=250,DIMENSIONAMIENTO!$L120,0)),IF(DIMENSIONAMIENTO_2!$H$13="Aquacell Core",IF(OR(DIMENSIONAMIENTO_2!$G52=200,DIMENSIONAMIENTO_2!$G52=250),DIMENSIONAMIENTO_2!$L52,0),IF(DIMENSIONAMIENTO_2!$G52=250,DIMENSIONAMIENTO_2!$L52,0)))</f>
        <v>0</v>
      </c>
      <c r="M26" s="16">
        <f>IF('DATOS DEL PROYECTO'!$I$38="No",IF(DIMENSIONAMIENTO!$H$81="Aquacell Core",IF(OR(DIMENSIONAMIENTO!$G121=200,DIMENSIONAMIENTO!$G121=250),DIMENSIONAMIENTO!$L121,0),IF(DIMENSIONAMIENTO!$G121=250,DIMENSIONAMIENTO!$L121,0)),IF(DIMENSIONAMIENTO_2!$H$13="Aquacell Core",IF(OR(DIMENSIONAMIENTO_2!$G53=200,DIMENSIONAMIENTO_2!$G53=250),DIMENSIONAMIENTO_2!$L53,0),IF(DIMENSIONAMIENTO_2!$G53=250,DIMENSIONAMIENTO_2!$L53,0)))</f>
        <v>0</v>
      </c>
      <c r="N26" s="16">
        <f>IF('DATOS DEL PROYECTO'!$I$38="No",IF(DIMENSIONAMIENTO!$H$81="Aquacell Core",IF(OR(DIMENSIONAMIENTO!$G122=200,DIMENSIONAMIENTO!$G122=250),DIMENSIONAMIENTO!$L122,0),IF(DIMENSIONAMIENTO!$G122=250,DIMENSIONAMIENTO!$L122,0)),IF(DIMENSIONAMIENTO_2!$H$13="Aquacell Core",IF(OR(DIMENSIONAMIENTO_2!$G54=200,DIMENSIONAMIENTO_2!$G54=250),DIMENSIONAMIENTO_2!$L54,0),IF(DIMENSIONAMIENTO_2!$G54=250,DIMENSIONAMIENTO_2!$L54,0)))</f>
        <v>0</v>
      </c>
      <c r="O26" s="16">
        <f>IF('DATOS DEL PROYECTO'!$I$38="No",IF(DIMENSIONAMIENTO!$H$81="Aquacell Core",IF(OR(DIMENSIONAMIENTO!$G123=200,DIMENSIONAMIENTO!$G123=250),DIMENSIONAMIENTO!$L123,0),IF(DIMENSIONAMIENTO!$G123=250,DIMENSIONAMIENTO!$L123,0)),IF(DIMENSIONAMIENTO_2!$H$13="Aquacell Core",IF(OR(DIMENSIONAMIENTO_2!$G55=200,DIMENSIONAMIENTO_2!$G55=250),DIMENSIONAMIENTO_2!$L55,0),IF(DIMENSIONAMIENTO_2!$G55=250,DIMENSIONAMIENTO_2!$L55,0)))</f>
        <v>0</v>
      </c>
      <c r="P26" s="16">
        <f>IF('DATOS DEL PROYECTO'!$I$38="No",IF(DIMENSIONAMIENTO!$H$81="Aquacell Core",IF(OR(DIMENSIONAMIENTO!$G130=200,DIMENSIONAMIENTO!$G130=250),DIMENSIONAMIENTO!$J132,0),IF(DIMENSIONAMIENTO!$G130=250,DIMENSIONAMIENTO!$J132,0)),IF(DIMENSIONAMIENTO_2!$H$13="Aquacell Core",IF(OR(DIMENSIONAMIENTO_2!$G62=200,DIMENSIONAMIENTO_2!$G62=250),DIMENSIONAMIENTO_2!$J64,0),IF(DIMENSIONAMIENTO_2!$G62=250,DIMENSIONAMIENTO_2!$J64,0)))</f>
        <v>0</v>
      </c>
      <c r="Q26" s="16">
        <f>IF('DATOS DEL PROYECTO'!$I$38="No",IF(DIMENSIONAMIENTO!$H$81="Aquacell Core",IF(OR(DIMENSIONAMIENTO!$G140=200,DIMENSIONAMIENTO!$G140=250),DIMENSIONAMIENTO!$J140,0),IF(DIMENSIONAMIENTO!$G140=250,DIMENSIONAMIENTO!$J140,0)),IF(DIMENSIONAMIENTO_2!$H$13="Aquacell Core",IF(OR(DIMENSIONAMIENTO_2!$G72=200,DIMENSIONAMIENTO_2!$G72=250),DIMENSIONAMIENTO_2!$J72,0),IF(DIMENSIONAMIENTO_2!$G72=250,DIMENSIONAMIENTO_2!$J72,0)))</f>
        <v>0</v>
      </c>
      <c r="R26" s="16">
        <f>SUM(J26:Q26)</f>
        <v>0</v>
      </c>
      <c r="AP26" s="103" t="str">
        <f>IF('DATOS DEL PROYECTO'!$I$38="No",IF(DIMENSIONAMIENTO!H161&lt;&gt;"",IF(AND(DIMENSIONAMIENTO!H159=1000,DIMENSIONAMIENTO!H160=""),"Especificar Cono",IF(DIMENSIONAMIENTO!H159=1000,(DIMENSIONAMIENTO!H161-0.376-VLOOKUP(DIMENSIONAMIENTO!H160,AQ25:AR26,2,FALSE))*1000,(DIMENSIONAMIENTO!H161-0.535)*1000)),""),IF(DIMENSIONAMIENTO_2!H93&lt;&gt;"",IF(AND(DIMENSIONAMIENTO_2!H91=1000,DIMENSIONAMIENTO_2!H92=""),"Especificar Cono",IF(DIMENSIONAMIENTO_2!H91=1000,(DIMENSIONAMIENTO_2!H93-0.376-VLOOKUP(DIMENSIONAMIENTO_2!H92,AQ25:AR26,2,FALSE))*1000,(DIMENSIONAMIENTO_2!H93-0.535)*1000)),""))</f>
        <v/>
      </c>
      <c r="AQ26" s="103" t="s">
        <v>272</v>
      </c>
      <c r="AR26" s="103">
        <v>0.90500000000000003</v>
      </c>
      <c r="AS26" s="103">
        <v>2903057</v>
      </c>
      <c r="AV26" s="506"/>
      <c r="AW26" s="118" t="s">
        <v>276</v>
      </c>
      <c r="AX26" s="118">
        <v>600</v>
      </c>
      <c r="AY26" s="118">
        <v>1500</v>
      </c>
      <c r="AZ26" s="118">
        <v>2906847</v>
      </c>
    </row>
    <row r="27" spans="3:52" x14ac:dyDescent="0.25">
      <c r="C27" s="205" t="s">
        <v>274</v>
      </c>
      <c r="D27" s="205"/>
      <c r="E27" s="254">
        <f>ROUNDUP(SUM(F21:F26),0)</f>
        <v>0</v>
      </c>
      <c r="F27" s="255"/>
      <c r="G27" s="17">
        <v>2902743</v>
      </c>
      <c r="H27" s="16" t="s">
        <v>264</v>
      </c>
      <c r="I27" s="16">
        <v>2909153</v>
      </c>
      <c r="J27" s="16">
        <f>IF('DATOS DEL PROYECTO'!$I$38="No",IF(DIMENSIONAMIENTO!$H$81="Aquacell Core",IF(OR(DIMENSIONAMIENTO!$G118=200,DIMENSIONAMIENTO!$G118=250,DIMENSIONAMIENTO!$G118=315),DIMENSIONAMIENTO!$L118,0),0),IF(DIMENSIONAMIENTO_2!$H$13="Aquacell Core",IF(OR(DIMENSIONAMIENTO_2!$G50=200,DIMENSIONAMIENTO_2!$G50=250,DIMENSIONAMIENTO_2!$G50=315),DIMENSIONAMIENTO_2!$L50,0),0))</f>
        <v>0</v>
      </c>
      <c r="K27" s="16">
        <f>IF('DATOS DEL PROYECTO'!$I$38="No",IF(DIMENSIONAMIENTO!$H$81="Aquacell Core",IF(OR(DIMENSIONAMIENTO!$G119=200,DIMENSIONAMIENTO!$G119=250,DIMENSIONAMIENTO!$G119=315),DIMENSIONAMIENTO!$L119,0),0),IF(DIMENSIONAMIENTO_2!$H$13="Aquacell Core",IF(OR(DIMENSIONAMIENTO_2!$G51=200,DIMENSIONAMIENTO_2!$G51=250,DIMENSIONAMIENTO_2!$G51=315),DIMENSIONAMIENTO_2!$L51,0),0))</f>
        <v>0</v>
      </c>
      <c r="L27" s="16">
        <f>IF('DATOS DEL PROYECTO'!$I$38="No",IF(DIMENSIONAMIENTO!$H$81="Aquacell Core",IF(OR(DIMENSIONAMIENTO!$G120=200,DIMENSIONAMIENTO!$G120=250,DIMENSIONAMIENTO!$G120=315),DIMENSIONAMIENTO!$L120,0),0),IF(DIMENSIONAMIENTO_2!$H$13="Aquacell Core",IF(OR(DIMENSIONAMIENTO_2!$G52=200,DIMENSIONAMIENTO_2!$G52=250,DIMENSIONAMIENTO_2!$G52=315),DIMENSIONAMIENTO_2!$L52,0),0))</f>
        <v>0</v>
      </c>
      <c r="M27" s="16">
        <f>IF('DATOS DEL PROYECTO'!$I$38="No",IF(DIMENSIONAMIENTO!$H$81="Aquacell Core",IF(OR(DIMENSIONAMIENTO!$G121=200,DIMENSIONAMIENTO!$G121=250,DIMENSIONAMIENTO!$G121=315),DIMENSIONAMIENTO!$L121,0),0),IF(DIMENSIONAMIENTO_2!$H$13="Aquacell Core",IF(OR(DIMENSIONAMIENTO_2!$G53=200,DIMENSIONAMIENTO_2!$G53=250,DIMENSIONAMIENTO_2!$G53=315),DIMENSIONAMIENTO_2!$L53,0),0))</f>
        <v>0</v>
      </c>
      <c r="N27" s="16">
        <f>IF('DATOS DEL PROYECTO'!$I$38="No",IF(DIMENSIONAMIENTO!$H$81="Aquacell Core",IF(OR(DIMENSIONAMIENTO!$G122=200,DIMENSIONAMIENTO!$G122=250,DIMENSIONAMIENTO!$G122=315),DIMENSIONAMIENTO!$L122,0),0),IF(DIMENSIONAMIENTO_2!$H$13="Aquacell Core",IF(OR(DIMENSIONAMIENTO_2!$G54=200,DIMENSIONAMIENTO_2!$G54=250,DIMENSIONAMIENTO_2!$G54=315),DIMENSIONAMIENTO_2!$L54,0),0))</f>
        <v>0</v>
      </c>
      <c r="O27" s="16">
        <f>IF('DATOS DEL PROYECTO'!$I$38="No",IF(DIMENSIONAMIENTO!$H$81="Aquacell Core",IF(OR(DIMENSIONAMIENTO!$G123=200,DIMENSIONAMIENTO!$G123=250,DIMENSIONAMIENTO!$G123=315),DIMENSIONAMIENTO!$L123,0),0),IF(DIMENSIONAMIENTO_2!$H$13="Aquacell Core",IF(OR(DIMENSIONAMIENTO_2!$G55=200,DIMENSIONAMIENTO_2!$G55=250,DIMENSIONAMIENTO_2!$G55=315),DIMENSIONAMIENTO_2!$L55,0),0))</f>
        <v>0</v>
      </c>
      <c r="P27" s="16">
        <f>IF('DATOS DEL PROYECTO'!$I$38="No",IF(DIMENSIONAMIENTO!$H$81="Aquacell Core",IF(OR(DIMENSIONAMIENTO!$G130=200,DIMENSIONAMIENTO!$G130=250,DIMENSIONAMIENTO!$G130=315),DIMENSIONAMIENTO!$J132,0),0),IF(DIMENSIONAMIENTO_2!$H$13="Aquacell Core",IF(OR(DIMENSIONAMIENTO_2!$G62=200,DIMENSIONAMIENTO_2!$G62=250,DIMENSIONAMIENTO_2!$G62=315),DIMENSIONAMIENTO_2!$J64,0),0))</f>
        <v>0</v>
      </c>
      <c r="Q27" s="16">
        <f>IF('DATOS DEL PROYECTO'!$I$38="No",IF(DIMENSIONAMIENTO!$H$81="Aquacell Core",IF(OR(DIMENSIONAMIENTO!$G130=200,DIMENSIONAMIENTO!$G140=250,DIMENSIONAMIENTO!$G140=315),DIMENSIONAMIENTO!$J140,0),0),IF(DIMENSIONAMIENTO_2!$H$13="Aquacell Core",IF(OR(DIMENSIONAMIENTO_2!$G72=200,DIMENSIONAMIENTO_2!$G72=250,DIMENSIONAMIENTO_2!$G72=315),DIMENSIONAMIENTO_2!$J72,0),0))</f>
        <v>0</v>
      </c>
      <c r="R27" s="16">
        <f t="shared" si="4"/>
        <v>0</v>
      </c>
      <c r="AP27" s="102"/>
      <c r="AQ27" s="102"/>
      <c r="AR27" s="102"/>
      <c r="AS27" s="102"/>
      <c r="AV27" s="506"/>
      <c r="AW27" s="118" t="s">
        <v>279</v>
      </c>
      <c r="AX27" s="118">
        <v>600</v>
      </c>
      <c r="AY27" s="118">
        <v>2000</v>
      </c>
      <c r="AZ27" s="118">
        <v>2903033</v>
      </c>
    </row>
    <row r="28" spans="3:52" x14ac:dyDescent="0.25">
      <c r="C28" s="200"/>
      <c r="D28" s="201"/>
      <c r="E28" s="201"/>
      <c r="F28" s="201"/>
      <c r="G28" s="17"/>
      <c r="H28" s="16" t="s">
        <v>270</v>
      </c>
      <c r="I28" s="16">
        <v>2908612</v>
      </c>
      <c r="J28" s="16">
        <f>IF('DATOS DEL PROYECTO'!$I$38="No",IF(DIMENSIONAMIENTO!$H$81="Aquacell Core",IF(OR(DIMENSIONAMIENTO!$G118=355),DIMENSIONAMIENTO!$L118,0),0),IF(DIMENSIONAMIENTO_2!$H$13="Aquacell Core",IF(OR(DIMENSIONAMIENTO_2!$G50=355),DIMENSIONAMIENTO_2!$L50,0),0))</f>
        <v>0</v>
      </c>
      <c r="K28" s="16">
        <f>IF('DATOS DEL PROYECTO'!$I$38="No",IF(DIMENSIONAMIENTO!$H$81="Aquacell Core",IF(OR(DIMENSIONAMIENTO!$G119=355),DIMENSIONAMIENTO!$L119,0),0),IF(DIMENSIONAMIENTO_2!$H$13="Aquacell Core",IF(OR(DIMENSIONAMIENTO_2!$G51=355),DIMENSIONAMIENTO_2!$L51,0),0))</f>
        <v>0</v>
      </c>
      <c r="L28" s="16">
        <f>IF('DATOS DEL PROYECTO'!$I$38="No",IF(DIMENSIONAMIENTO!$H$81="Aquacell Core",IF(OR(DIMENSIONAMIENTO!$G120=355),DIMENSIONAMIENTO!$L120,0),0),IF(DIMENSIONAMIENTO_2!$H$13="Aquacell Core",IF(OR(DIMENSIONAMIENTO_2!$G52=355),DIMENSIONAMIENTO_2!$L52,0),0))</f>
        <v>0</v>
      </c>
      <c r="M28" s="16">
        <f>IF('DATOS DEL PROYECTO'!$I$38="No",IF(DIMENSIONAMIENTO!$H$81="Aquacell Core",IF(OR(DIMENSIONAMIENTO!$G121=355),DIMENSIONAMIENTO!$L121,0),0),IF(DIMENSIONAMIENTO_2!$H$13="Aquacell Core",IF(OR(DIMENSIONAMIENTO_2!$G53=355),DIMENSIONAMIENTO_2!$L53,0),0))</f>
        <v>0</v>
      </c>
      <c r="N28" s="16">
        <f>IF('DATOS DEL PROYECTO'!$I$38="No",IF(DIMENSIONAMIENTO!$H$81="Aquacell Core",IF(OR(DIMENSIONAMIENTO!$G122=355),DIMENSIONAMIENTO!$L122,0),0),IF(DIMENSIONAMIENTO_2!$H$13="Aquacell Core",IF(OR(DIMENSIONAMIENTO_2!$G54=355),DIMENSIONAMIENTO_2!$L54,0),0))</f>
        <v>0</v>
      </c>
      <c r="O28" s="16">
        <f>IF('DATOS DEL PROYECTO'!$I$38="No",IF(DIMENSIONAMIENTO!$H$81="Aquacell Core",IF(OR(DIMENSIONAMIENTO!$G123=355),DIMENSIONAMIENTO!$L123,0),0),IF(DIMENSIONAMIENTO_2!$H$13="Aquacell Core",IF(OR(DIMENSIONAMIENTO_2!$G55=355),DIMENSIONAMIENTO_2!$L55,0),0))</f>
        <v>0</v>
      </c>
      <c r="P28" s="16">
        <f>IF('DATOS DEL PROYECTO'!$I$38="No",IF(DIMENSIONAMIENTO!$H$81="Aquacell Core",IF(OR(DIMENSIONAMIENTO!$G130=355),DIMENSIONAMIENTO!$J132,0),0),IF(DIMENSIONAMIENTO_2!$H$13="Aquacell Core",IF(OR(DIMENSIONAMIENTO_2!$G62=355),DIMENSIONAMIENTO_2!$J64,0),0))</f>
        <v>0</v>
      </c>
      <c r="Q28" s="16">
        <f>IF('DATOS DEL PROYECTO'!$I$38="No",IF(DIMENSIONAMIENTO!$H$81="Aquacell Core",IF(OR(DIMENSIONAMIENTO!$G140=355),DIMENSIONAMIENTO!$J140,0),0),IF(DIMENSIONAMIENTO_2!$H$13="Aquacell Core",IF(OR(DIMENSIONAMIENTO_2!$G72=355),DIMENSIONAMIENTO_2!$J72,0),0))</f>
        <v>0</v>
      </c>
      <c r="R28" s="16">
        <f t="shared" si="4"/>
        <v>0</v>
      </c>
      <c r="AM28" s="153" t="s">
        <v>3113</v>
      </c>
      <c r="AN28" s="153" t="s">
        <v>3115</v>
      </c>
      <c r="AP28" s="153" t="s">
        <v>275</v>
      </c>
      <c r="AQ28" s="153" t="s">
        <v>267</v>
      </c>
      <c r="AR28" s="102"/>
      <c r="AV28" s="506"/>
      <c r="AW28" s="118" t="s">
        <v>282</v>
      </c>
      <c r="AX28" s="118">
        <v>600</v>
      </c>
      <c r="AY28" s="118">
        <v>2500</v>
      </c>
      <c r="AZ28" s="118">
        <v>2903035</v>
      </c>
    </row>
    <row r="29" spans="3:52" x14ac:dyDescent="0.25">
      <c r="C29" s="16">
        <v>2904255</v>
      </c>
      <c r="D29" s="16" t="s">
        <v>277</v>
      </c>
      <c r="E29" s="16" t="s">
        <v>3036</v>
      </c>
      <c r="F29" s="16">
        <v>3.5</v>
      </c>
      <c r="G29" s="16">
        <v>120</v>
      </c>
      <c r="H29" s="16" t="s">
        <v>3024</v>
      </c>
      <c r="I29" s="16">
        <v>2912043</v>
      </c>
      <c r="J29" s="16">
        <f>IF('DATOS DEL PROYECTO'!$I$38="No",IF(DIMENSIONAMIENTO!$H$81="Aquacell Core",0,IF(OR(DIMENSIONAMIENTO!$G118=200,DIMENSIONAMIENTO!$G118=250,DIMENSIONAMIENTO!$G118=315),DIMENSIONAMIENTO!$L118,0)),IF(DIMENSIONAMIENTO_2!$H$13="Aquacell Core",0,IF(OR(DIMENSIONAMIENTO_2!$G50=200,DIMENSIONAMIENTO_2!$G50=250,DIMENSIONAMIENTO_2!$G50=315),DIMENSIONAMIENTO_2!$L50,0)))</f>
        <v>0</v>
      </c>
      <c r="K29" s="16">
        <f>IF('DATOS DEL PROYECTO'!$I$38="No",IF(DIMENSIONAMIENTO!$H$81="Aquacell Core",0,IF(OR(DIMENSIONAMIENTO!$G119=200,DIMENSIONAMIENTO!$G119=250,DIMENSIONAMIENTO!$G119=315),DIMENSIONAMIENTO!$L119,0)),IF(DIMENSIONAMIENTO_2!$H$13="Aquacell Core",0,IF(OR(DIMENSIONAMIENTO_2!$G51=200,DIMENSIONAMIENTO_2!$G51=250,DIMENSIONAMIENTO_2!$G51=315),DIMENSIONAMIENTO_2!$L51,0)))</f>
        <v>0</v>
      </c>
      <c r="L29" s="16">
        <f>IF('DATOS DEL PROYECTO'!$I$38="No",IF(DIMENSIONAMIENTO!$H$81="Aquacell Core",0,IF(OR(DIMENSIONAMIENTO!$G120=200,DIMENSIONAMIENTO!$G120=250,DIMENSIONAMIENTO!$G120=315),DIMENSIONAMIENTO!$L120,0)),IF(DIMENSIONAMIENTO_2!$H$13="Aquacell Core",0,IF(OR(DIMENSIONAMIENTO_2!$G52=200,DIMENSIONAMIENTO_2!$G52=250,DIMENSIONAMIENTO_2!$G52=315),DIMENSIONAMIENTO_2!$L52,0)))</f>
        <v>0</v>
      </c>
      <c r="M29" s="16">
        <f>IF('DATOS DEL PROYECTO'!$I$38="No",IF(DIMENSIONAMIENTO!$H$81="Aquacell Core",0,IF(OR(DIMENSIONAMIENTO!$G121=200,DIMENSIONAMIENTO!$G121=250,DIMENSIONAMIENTO!$G121=315),DIMENSIONAMIENTO!$L121,0)),IF(DIMENSIONAMIENTO_2!$H$13="Aquacell Core",0,IF(OR(DIMENSIONAMIENTO_2!$G53=200,DIMENSIONAMIENTO_2!$G53=250,DIMENSIONAMIENTO_2!$G53=315),DIMENSIONAMIENTO_2!$L53,0)))</f>
        <v>0</v>
      </c>
      <c r="N29" s="16">
        <f>IF('DATOS DEL PROYECTO'!$I$38="No",IF(DIMENSIONAMIENTO!$H$81="Aquacell Core",0,IF(OR(DIMENSIONAMIENTO!$G122=200,DIMENSIONAMIENTO!$G122=250,DIMENSIONAMIENTO!$G122=315),DIMENSIONAMIENTO!$L122,0)),IF(DIMENSIONAMIENTO_2!$H$13="Aquacell Core",0,IF(OR(DIMENSIONAMIENTO_2!$G54=200,DIMENSIONAMIENTO_2!$G54=250,DIMENSIONAMIENTO_2!$G54=315),DIMENSIONAMIENTO_2!$L54,0)))</f>
        <v>0</v>
      </c>
      <c r="O29" s="16">
        <f>IF('DATOS DEL PROYECTO'!$I$38="No",IF(DIMENSIONAMIENTO!$H$81="Aquacell Core",0,IF(OR(DIMENSIONAMIENTO!$G123=200,DIMENSIONAMIENTO!$G123=250,DIMENSIONAMIENTO!$G123=315),DIMENSIONAMIENTO!$L123,0)),IF(DIMENSIONAMIENTO_2!$H$13="Aquacell Core",0,IF(OR(DIMENSIONAMIENTO_2!$G55=200,DIMENSIONAMIENTO_2!$G55=250,DIMENSIONAMIENTO_2!$G55=315),DIMENSIONAMIENTO_2!$L55,0)))</f>
        <v>0</v>
      </c>
      <c r="P29" s="16">
        <f>IF('DATOS DEL PROYECTO'!$I$38="No",IF(DIMENSIONAMIENTO!$H$81="Aquacell Core",0,IF(OR(DIMENSIONAMIENTO!$G130=200,DIMENSIONAMIENTO!$G130=250,DIMENSIONAMIENTO!$G130=315),DIMENSIONAMIENTO!$J132,0)),IF(DIMENSIONAMIENTO_2!$H$13="Aquacell Core",0,IF(OR(DIMENSIONAMIENTO_2!$G62=200,DIMENSIONAMIENTO_2!$G62=250,DIMENSIONAMIENTO_2!$G62=315),DIMENSIONAMIENTO_2!$J64,0)))</f>
        <v>0</v>
      </c>
      <c r="Q29" s="16">
        <f>IF('DATOS DEL PROYECTO'!$I$38="No",IF(DIMENSIONAMIENTO!$H$81="Aquacell Core",0,IF(OR(DIMENSIONAMIENTO!$G140=200,DIMENSIONAMIENTO!$G140=250,DIMENSIONAMIENTO!$G140=315),DIMENSIONAMIENTO!$J140,0)),IF(DIMENSIONAMIENTO_2!$H$13="Aquacell Core",0,IF(OR(DIMENSIONAMIENTO_2!$G72=200,DIMENSIONAMIENTO_2!$G72=250,DIMENSIONAMIENTO_2!$G72=315),DIMENSIONAMIENTO_2!$J72,0)))</f>
        <v>0</v>
      </c>
      <c r="R29" s="16">
        <f>SUM(J29:Q29)</f>
        <v>0</v>
      </c>
      <c r="AM29" s="103" t="str">
        <f>IF(V34&lt;&gt;"",MROUND(AP25,500)/500,"")</f>
        <v/>
      </c>
      <c r="AN29" s="103" t="str">
        <f>AM29</f>
        <v/>
      </c>
      <c r="AP29" s="103" t="str">
        <f>IF('DATOS DEL PROYECTO'!$I$38="No",IF(AP25="Especificar Cono","Especificar Cono",IF(AP25&lt;&gt;"",IF(DIMENSIONAMIENTO!H152=600,VLOOKUP(AP25,$AQ$42:$AS$44,3,TRUE),VLOOKUP(AP25,AQ34:AS38,3,TRUE)),"")),IF(AP25="Especificar Cono","Especificar Cono",IF(AP25&lt;&gt;"",IF(DIMENSIONAMIENTO_2!H84=600,VLOOKUP(AP25,$AQ$42:$AS$44,3,TRUE),VLOOKUP(AP25,AQ34:AS38,3,TRUE)),"")))</f>
        <v/>
      </c>
      <c r="AQ29" s="103" t="e">
        <f>IF('DATOS DEL PROYECTO'!$I$38="No",IF(DIMENSIONAMIENTO!H152=600,VLOOKUP(AP29,$AY$24:$AZ$31,2,FALSE),VLOOKUP(AP29,$AY$32:$AZ$40,2,FALSE)),IF(DIMENSIONAMIENTO_2!H84=600,VLOOKUP(AP29,$AY$24:$AZ$31,2,FALSE),VLOOKUP(AP29,$AY$32:$AZ$40,2,FALSE)))</f>
        <v>#N/A</v>
      </c>
      <c r="AR29" s="102"/>
      <c r="AS29" s="102"/>
      <c r="AV29" s="506"/>
      <c r="AW29" s="118" t="s">
        <v>291</v>
      </c>
      <c r="AX29" s="118">
        <v>600</v>
      </c>
      <c r="AY29" s="118">
        <v>3000</v>
      </c>
      <c r="AZ29" s="118">
        <v>2903037</v>
      </c>
    </row>
    <row r="30" spans="3:52" x14ac:dyDescent="0.25">
      <c r="C30" s="16">
        <v>2904256</v>
      </c>
      <c r="D30" s="16" t="s">
        <v>278</v>
      </c>
      <c r="E30" s="16" t="s">
        <v>3036</v>
      </c>
      <c r="F30" s="16">
        <v>7.01</v>
      </c>
      <c r="G30" s="16">
        <v>300</v>
      </c>
      <c r="H30" s="16" t="s">
        <v>3037</v>
      </c>
      <c r="I30" s="16">
        <v>2902917</v>
      </c>
      <c r="J30" s="16">
        <f>IF(J29&lt;&gt;0,J26,0)</f>
        <v>0</v>
      </c>
      <c r="K30" s="16">
        <f t="shared" ref="K30:Q30" si="5">IF(K29&lt;&gt;0,K26,0)</f>
        <v>0</v>
      </c>
      <c r="L30" s="16">
        <f t="shared" si="5"/>
        <v>0</v>
      </c>
      <c r="M30" s="16">
        <f t="shared" si="5"/>
        <v>0</v>
      </c>
      <c r="N30" s="16">
        <f t="shared" si="5"/>
        <v>0</v>
      </c>
      <c r="O30" s="16">
        <f t="shared" si="5"/>
        <v>0</v>
      </c>
      <c r="P30" s="16">
        <f t="shared" si="5"/>
        <v>0</v>
      </c>
      <c r="Q30" s="16">
        <f t="shared" si="5"/>
        <v>0</v>
      </c>
      <c r="R30" s="16">
        <f>SUM(J30:Q30)</f>
        <v>0</v>
      </c>
      <c r="AM30" s="103" t="str">
        <f>IF(V35&lt;&gt;"",MROUND(AP26,500)/500,"")</f>
        <v/>
      </c>
      <c r="AN30" s="103" t="str">
        <f>AM30</f>
        <v/>
      </c>
      <c r="AP30" s="103" t="str">
        <f>IF('DATOS DEL PROYECTO'!$I$38="No",IF(AP26="Especificar Cono","Especificar Cono",IF(AP26&lt;&gt;"",IF(DIMENSIONAMIENTO!H159=600,VLOOKUP(AP26,$AQ$57:$AS$59,3,TRUE),VLOOKUP(AP26,$AQ$49:$AS$53,3,TRUE)),"")),IF(AP26="Especificar Cono","Especificar Cono",IF(AP26&lt;&gt;"",IF(DIMENSIONAMIENTO_2!H91=600,VLOOKUP(AP26,$AQ$57:$AS$59,3,TRUE),VLOOKUP(AP26,$AQ$49:$AS$53,3,TRUE)),"")))</f>
        <v/>
      </c>
      <c r="AQ30" s="103" t="e">
        <f>IF('DATOS DEL PROYECTO'!$I$38="No",IF(DIMENSIONAMIENTO!H159=600,VLOOKUP(AP30,$AY$24:$AZ$31,2,FALSE),VLOOKUP(AP30,$AY$32:$AZ$40,2,FALSE)),IF(DIMENSIONAMIENTO_2!H91=600,VLOOKUP(AP30,$AY$24:$AZ$31,2,FALSE),VLOOKUP(AP30,$AY$32:$AZ$40,2,FALSE)))</f>
        <v>#N/A</v>
      </c>
      <c r="AR30" s="102"/>
      <c r="AS30" s="102"/>
      <c r="AV30" s="506"/>
      <c r="AW30" s="118" t="s">
        <v>293</v>
      </c>
      <c r="AX30" s="118">
        <v>600</v>
      </c>
      <c r="AY30" s="118">
        <v>3500</v>
      </c>
      <c r="AZ30" s="118">
        <v>2903039</v>
      </c>
    </row>
    <row r="31" spans="3:52" x14ac:dyDescent="0.25">
      <c r="AP31" s="102"/>
      <c r="AV31" s="506"/>
      <c r="AW31" s="118" t="s">
        <v>295</v>
      </c>
      <c r="AX31" s="118">
        <v>600</v>
      </c>
      <c r="AY31" s="118">
        <v>4000</v>
      </c>
      <c r="AZ31" s="118">
        <v>2903041</v>
      </c>
    </row>
    <row r="32" spans="3:52" ht="15.75" x14ac:dyDescent="0.25">
      <c r="H32" s="99"/>
      <c r="T32" s="514" t="s">
        <v>280</v>
      </c>
      <c r="U32" s="514"/>
      <c r="V32" s="514"/>
      <c r="W32" s="514"/>
      <c r="X32" s="514"/>
      <c r="Y32" s="514"/>
      <c r="AP32" s="102"/>
      <c r="AQ32" s="204" t="s">
        <v>281</v>
      </c>
      <c r="AR32" s="204"/>
      <c r="AS32" s="204"/>
      <c r="AV32" s="506" t="s">
        <v>296</v>
      </c>
      <c r="AW32" s="118" t="s">
        <v>298</v>
      </c>
      <c r="AX32" s="118">
        <v>1000</v>
      </c>
      <c r="AY32" s="118">
        <v>500</v>
      </c>
      <c r="AZ32" s="118">
        <v>2903043</v>
      </c>
    </row>
    <row r="33" spans="1:52" x14ac:dyDescent="0.25">
      <c r="C33" s="204" t="s">
        <v>3057</v>
      </c>
      <c r="D33" s="204"/>
      <c r="E33" s="204"/>
      <c r="H33" s="99"/>
      <c r="T33" s="73" t="s">
        <v>283</v>
      </c>
      <c r="U33" s="73" t="s">
        <v>284</v>
      </c>
      <c r="V33" s="73" t="s">
        <v>285</v>
      </c>
      <c r="W33" s="73" t="s">
        <v>286</v>
      </c>
      <c r="X33" s="73" t="s">
        <v>3113</v>
      </c>
      <c r="Y33" s="73" t="s">
        <v>3114</v>
      </c>
      <c r="AP33" s="102"/>
      <c r="AQ33" s="153" t="s">
        <v>287</v>
      </c>
      <c r="AR33" s="153" t="s">
        <v>288</v>
      </c>
      <c r="AS33" s="153" t="s">
        <v>289</v>
      </c>
      <c r="AV33" s="506"/>
      <c r="AW33" s="118" t="s">
        <v>299</v>
      </c>
      <c r="AX33" s="118">
        <v>1000</v>
      </c>
      <c r="AY33" s="118">
        <v>1000</v>
      </c>
      <c r="AZ33" s="118">
        <v>2903045</v>
      </c>
    </row>
    <row r="34" spans="1:52" x14ac:dyDescent="0.25">
      <c r="C34" s="153" t="s">
        <v>287</v>
      </c>
      <c r="D34" s="153" t="s">
        <v>288</v>
      </c>
      <c r="E34" s="153" t="s">
        <v>3058</v>
      </c>
      <c r="H34" s="99"/>
      <c r="T34" s="16" t="str">
        <f>IF('DATOS DEL PROYECTO'!$I$38="No",IF(DIMENSIONAMIENTO!M149="NO","",IF(DIMENSIONAMIENTO!H152=1000,2903102,IF(DIMENSIONAMIENTO!H152=600,2906084,""))),IF(DIMENSIONAMIENTO_2!M81="NO","",IF(DIMENSIONAMIENTO_2!H84=1000,2903102,IF(DIMENSIONAMIENTO_2!H84=600,2906084,""))))</f>
        <v/>
      </c>
      <c r="U34" s="16" t="str">
        <f>IF(T34="","",_xlfn.IFNA(AQ29,""))</f>
        <v/>
      </c>
      <c r="V34" s="16" t="str">
        <f>IF(T34="","",IF('DATOS DEL PROYECTO'!$I$38="No",IF(DIMENSIONAMIENTO!H153&lt;&gt;"",VLOOKUP(DIMENSIONAMIENTO!H153,$AQ$25:$AS$26,3,FALSE),""),IF(DIMENSIONAMIENTO_2!H85&lt;&gt;"",VLOOKUP(DIMENSIONAMIENTO_2!H85,$AQ$25:$AS$26,3,FALSE),"")))</f>
        <v/>
      </c>
      <c r="W34" s="16" t="str">
        <f>IF(T34="","",IF('DATOS DEL PROYECTO'!$I$38="No",IF(OR(DIMENSIONAMIENTO!H151="",DIMENSIONAMIENTO!H151=0),"",2903562),IF(OR(DIMENSIONAMIENTO_2!H83="",DIMENSIONAMIENTO_2!H83=0),"",2903562)))</f>
        <v/>
      </c>
      <c r="X34" s="16" t="str">
        <f>IF(V34&lt;&gt;"",2903563,"")</f>
        <v/>
      </c>
      <c r="Y34" s="16" t="str">
        <f>IF(V34&lt;&gt;"",2903701,"")</f>
        <v/>
      </c>
      <c r="Z34" s="99" t="s">
        <v>290</v>
      </c>
      <c r="AP34" s="102"/>
      <c r="AQ34" s="103">
        <v>0</v>
      </c>
      <c r="AR34" s="103">
        <v>500</v>
      </c>
      <c r="AS34" s="103">
        <v>500</v>
      </c>
      <c r="AV34" s="506"/>
      <c r="AW34" s="118" t="s">
        <v>301</v>
      </c>
      <c r="AX34" s="118">
        <v>1000</v>
      </c>
      <c r="AY34" s="118">
        <v>1500</v>
      </c>
      <c r="AZ34" s="118">
        <v>2903047</v>
      </c>
    </row>
    <row r="35" spans="1:52" x14ac:dyDescent="0.25">
      <c r="C35" s="103">
        <v>0</v>
      </c>
      <c r="D35" s="103">
        <v>0.5</v>
      </c>
      <c r="E35" s="103">
        <v>2902540</v>
      </c>
      <c r="H35" s="99"/>
      <c r="T35" s="16" t="str">
        <f>IF('DATOS DEL PROYECTO'!$I$38="No",IF(DIMENSIONAMIENTO!M156="NO","",IF(DIMENSIONAMIENTO!H159=1000,2903102,IF(DIMENSIONAMIENTO!H159=600,2906084,""))),IF(DIMENSIONAMIENTO_2!M88="NO","",IF(DIMENSIONAMIENTO_2!H91=1000,2903102,IF(DIMENSIONAMIENTO_2!H91=600,2906084,""))))</f>
        <v/>
      </c>
      <c r="U35" s="16" t="str">
        <f>IF(T35="","",_xlfn.IFNA(AQ30,""))</f>
        <v/>
      </c>
      <c r="V35" s="16" t="str">
        <f>IF(T35="","",IF('DATOS DEL PROYECTO'!$I$38="No",IF(DIMENSIONAMIENTO!H160&lt;&gt;"",VLOOKUP(DIMENSIONAMIENTO!H160,$AQ$25:$AS$26,3,FALSE),""),IF(DIMENSIONAMIENTO_2!H92&lt;&gt;"",VLOOKUP(DIMENSIONAMIENTO_2!H92,$AQ$25:$AS$26,3,FALSE),"")))</f>
        <v/>
      </c>
      <c r="W35" s="16" t="str">
        <f>IF(T35="","",IF('DATOS DEL PROYECTO'!$I$38="No",IF(OR(DIMENSIONAMIENTO!H158="",DIMENSIONAMIENTO!H158=0),"",2903562),IF(OR(DIMENSIONAMIENTO_2!H90="",DIMENSIONAMIENTO_2!H90=0),"",2903562)))</f>
        <v/>
      </c>
      <c r="X35" s="16" t="str">
        <f>IF(V35&lt;&gt;"",2903563,"")</f>
        <v/>
      </c>
      <c r="Y35" s="16" t="str">
        <f>IF(V35&lt;&gt;"",2903701,"")</f>
        <v/>
      </c>
      <c r="Z35" s="99" t="s">
        <v>292</v>
      </c>
      <c r="AP35" s="102"/>
      <c r="AQ35" s="103">
        <v>500</v>
      </c>
      <c r="AR35" s="103">
        <v>3500</v>
      </c>
      <c r="AS35" s="103">
        <f>IFERROR(_xlfn.CEILING.MATH(AP25/1000,0.5)*1000,0)</f>
        <v>0</v>
      </c>
      <c r="AT35" s="108"/>
      <c r="AV35" s="506"/>
      <c r="AW35" s="118" t="s">
        <v>302</v>
      </c>
      <c r="AX35" s="118">
        <v>1000</v>
      </c>
      <c r="AY35" s="118">
        <v>2000</v>
      </c>
      <c r="AZ35" s="118">
        <v>2903049</v>
      </c>
    </row>
    <row r="36" spans="1:52" x14ac:dyDescent="0.25">
      <c r="C36" s="103">
        <v>0.5</v>
      </c>
      <c r="D36" s="103">
        <v>1</v>
      </c>
      <c r="E36" s="103">
        <v>2902541</v>
      </c>
      <c r="H36" s="99"/>
      <c r="N36" s="119"/>
      <c r="O36" s="119"/>
      <c r="P36" s="119"/>
      <c r="Q36" s="119"/>
      <c r="AP36" s="109"/>
      <c r="AQ36" s="103">
        <v>3500</v>
      </c>
      <c r="AR36" s="103">
        <v>4750</v>
      </c>
      <c r="AS36" s="103">
        <v>4750</v>
      </c>
      <c r="AT36" s="108"/>
      <c r="AU36" s="108"/>
      <c r="AV36" s="506"/>
      <c r="AW36" s="118" t="s">
        <v>303</v>
      </c>
      <c r="AX36" s="118">
        <v>1000</v>
      </c>
      <c r="AY36" s="118">
        <v>2500</v>
      </c>
      <c r="AZ36" s="118">
        <v>2903051</v>
      </c>
    </row>
    <row r="37" spans="1:52" s="108" customFormat="1" ht="15" customHeight="1" x14ac:dyDescent="0.25">
      <c r="A37" s="99"/>
      <c r="B37" s="99"/>
      <c r="C37" s="103">
        <v>1</v>
      </c>
      <c r="D37" s="103">
        <v>1.5</v>
      </c>
      <c r="E37" s="103">
        <v>9999998</v>
      </c>
      <c r="F37" s="99"/>
      <c r="G37" s="99"/>
      <c r="H37" s="100"/>
      <c r="I37" s="99"/>
      <c r="K37" s="99"/>
      <c r="L37" s="99"/>
      <c r="M37" s="99"/>
      <c r="AP37" s="109"/>
      <c r="AQ37" s="103">
        <v>4750</v>
      </c>
      <c r="AR37" s="103">
        <v>6000</v>
      </c>
      <c r="AS37" s="103">
        <v>6000</v>
      </c>
      <c r="AT37" s="99"/>
      <c r="AV37" s="506"/>
      <c r="AW37" s="118" t="s">
        <v>304</v>
      </c>
      <c r="AX37" s="118">
        <v>1000</v>
      </c>
      <c r="AY37" s="118">
        <v>3000</v>
      </c>
      <c r="AZ37" s="118">
        <v>2903053</v>
      </c>
    </row>
    <row r="38" spans="1:52" s="108" customFormat="1" ht="15" customHeight="1" x14ac:dyDescent="0.25">
      <c r="A38" s="99"/>
      <c r="B38" s="99"/>
      <c r="C38" s="103">
        <v>1.5</v>
      </c>
      <c r="D38" s="103">
        <v>2</v>
      </c>
      <c r="E38" s="103">
        <v>9999999</v>
      </c>
      <c r="F38" s="99"/>
      <c r="G38" s="99"/>
      <c r="H38" s="100"/>
      <c r="I38" s="99"/>
      <c r="K38" s="99"/>
      <c r="L38" s="99"/>
      <c r="M38" s="99"/>
      <c r="N38" s="99"/>
      <c r="O38" s="99"/>
      <c r="P38" s="99"/>
      <c r="AP38" s="102"/>
      <c r="AQ38" s="103">
        <v>6000</v>
      </c>
      <c r="AR38" s="103">
        <v>150000</v>
      </c>
      <c r="AS38" s="104" t="s">
        <v>294</v>
      </c>
      <c r="AT38" s="99"/>
      <c r="AU38" s="99"/>
      <c r="AV38" s="506"/>
      <c r="AW38" s="118" t="s">
        <v>305</v>
      </c>
      <c r="AX38" s="118">
        <v>1000</v>
      </c>
      <c r="AY38" s="118">
        <v>3500</v>
      </c>
      <c r="AZ38" s="118">
        <v>2903055</v>
      </c>
    </row>
    <row r="39" spans="1:52" ht="15" customHeight="1" x14ac:dyDescent="0.25">
      <c r="C39" s="103">
        <v>2</v>
      </c>
      <c r="D39" s="103">
        <v>6</v>
      </c>
      <c r="E39" s="103">
        <v>2900085</v>
      </c>
      <c r="AP39" s="102"/>
      <c r="AQ39" s="102"/>
      <c r="AR39" s="102"/>
      <c r="AS39" s="102"/>
      <c r="AV39" s="506"/>
      <c r="AW39" s="118" t="s">
        <v>306</v>
      </c>
      <c r="AX39" s="118">
        <v>1000</v>
      </c>
      <c r="AY39" s="118">
        <v>4750</v>
      </c>
      <c r="AZ39" s="118">
        <v>2907179</v>
      </c>
    </row>
    <row r="40" spans="1:52" ht="15" customHeight="1" x14ac:dyDescent="0.25">
      <c r="AO40" s="296"/>
      <c r="AP40" s="102"/>
      <c r="AQ40" s="204" t="s">
        <v>297</v>
      </c>
      <c r="AR40" s="204"/>
      <c r="AS40" s="204"/>
      <c r="AV40" s="506"/>
      <c r="AW40" s="118" t="s">
        <v>307</v>
      </c>
      <c r="AX40" s="118">
        <v>1000</v>
      </c>
      <c r="AY40" s="118">
        <v>6000</v>
      </c>
      <c r="AZ40" s="118">
        <v>2906362</v>
      </c>
    </row>
    <row r="41" spans="1:52" ht="15" customHeight="1" x14ac:dyDescent="0.25">
      <c r="AP41" s="102"/>
      <c r="AQ41" s="153" t="s">
        <v>287</v>
      </c>
      <c r="AR41" s="153" t="s">
        <v>288</v>
      </c>
      <c r="AS41" s="153" t="s">
        <v>289</v>
      </c>
    </row>
    <row r="42" spans="1:52" ht="15" customHeight="1" x14ac:dyDescent="0.25">
      <c r="AP42" s="102"/>
      <c r="AQ42" s="103">
        <v>0</v>
      </c>
      <c r="AR42" s="103">
        <v>500</v>
      </c>
      <c r="AS42" s="103">
        <v>500</v>
      </c>
    </row>
    <row r="43" spans="1:52" ht="15" customHeight="1" x14ac:dyDescent="0.25">
      <c r="AP43" s="102"/>
      <c r="AQ43" s="103">
        <v>500</v>
      </c>
      <c r="AR43" s="103">
        <v>4000</v>
      </c>
      <c r="AS43" s="103">
        <f>IFERROR(MROUND(AP25,500),0)</f>
        <v>0</v>
      </c>
    </row>
    <row r="44" spans="1:52" ht="15" customHeight="1" x14ac:dyDescent="0.25">
      <c r="AQ44" s="103">
        <v>4000</v>
      </c>
      <c r="AR44" s="103">
        <v>150000</v>
      </c>
      <c r="AS44" s="104" t="s">
        <v>300</v>
      </c>
    </row>
    <row r="45" spans="1:52" ht="15" customHeight="1" x14ac:dyDescent="0.25"/>
    <row r="46" spans="1:52" ht="15" customHeight="1" x14ac:dyDescent="0.25"/>
    <row r="47" spans="1:52" ht="15" customHeight="1" x14ac:dyDescent="0.25">
      <c r="AQ47" s="204" t="s">
        <v>281</v>
      </c>
      <c r="AR47" s="204"/>
      <c r="AS47" s="204"/>
    </row>
    <row r="48" spans="1:52" ht="15" customHeight="1" x14ac:dyDescent="0.25">
      <c r="AQ48" s="153" t="s">
        <v>287</v>
      </c>
      <c r="AR48" s="153" t="s">
        <v>288</v>
      </c>
      <c r="AS48" s="153" t="s">
        <v>289</v>
      </c>
    </row>
    <row r="49" spans="43:45" ht="15" customHeight="1" x14ac:dyDescent="0.25">
      <c r="AQ49" s="103">
        <v>0</v>
      </c>
      <c r="AR49" s="103">
        <v>500</v>
      </c>
      <c r="AS49" s="103">
        <v>500</v>
      </c>
    </row>
    <row r="50" spans="43:45" ht="15" customHeight="1" x14ac:dyDescent="0.25">
      <c r="AQ50" s="103">
        <v>400</v>
      </c>
      <c r="AR50" s="103">
        <v>3500</v>
      </c>
      <c r="AS50" s="103">
        <f>IFERROR(_xlfn.CEILING.MATH(AP26/1000,0.5)*1000,0)</f>
        <v>0</v>
      </c>
    </row>
    <row r="51" spans="43:45" ht="15" customHeight="1" x14ac:dyDescent="0.25">
      <c r="AQ51" s="103">
        <v>3500</v>
      </c>
      <c r="AR51" s="103">
        <v>4750</v>
      </c>
      <c r="AS51" s="103">
        <v>4750</v>
      </c>
    </row>
    <row r="52" spans="43:45" ht="15" customHeight="1" x14ac:dyDescent="0.25">
      <c r="AQ52" s="103">
        <v>4750</v>
      </c>
      <c r="AR52" s="103">
        <v>6000</v>
      </c>
      <c r="AS52" s="103">
        <v>6000</v>
      </c>
    </row>
    <row r="53" spans="43:45" ht="15" customHeight="1" x14ac:dyDescent="0.25">
      <c r="AQ53" s="103">
        <v>6000</v>
      </c>
      <c r="AR53" s="103">
        <v>150000</v>
      </c>
      <c r="AS53" s="104" t="s">
        <v>294</v>
      </c>
    </row>
    <row r="54" spans="43:45" ht="15" customHeight="1" x14ac:dyDescent="0.25">
      <c r="AQ54" s="102"/>
      <c r="AR54" s="102"/>
      <c r="AS54" s="102"/>
    </row>
    <row r="55" spans="43:45" ht="15" customHeight="1" x14ac:dyDescent="0.25">
      <c r="AQ55" s="204" t="s">
        <v>297</v>
      </c>
      <c r="AR55" s="204"/>
      <c r="AS55" s="204"/>
    </row>
    <row r="56" spans="43:45" ht="15" customHeight="1" x14ac:dyDescent="0.25">
      <c r="AQ56" s="153" t="s">
        <v>287</v>
      </c>
      <c r="AR56" s="153" t="s">
        <v>288</v>
      </c>
      <c r="AS56" s="153" t="s">
        <v>289</v>
      </c>
    </row>
    <row r="57" spans="43:45" ht="15" customHeight="1" x14ac:dyDescent="0.25">
      <c r="AQ57" s="103">
        <v>0</v>
      </c>
      <c r="AR57" s="103">
        <v>500</v>
      </c>
      <c r="AS57" s="103">
        <v>500</v>
      </c>
    </row>
    <row r="58" spans="43:45" ht="15" customHeight="1" x14ac:dyDescent="0.25">
      <c r="AQ58" s="103">
        <v>500</v>
      </c>
      <c r="AR58" s="103">
        <v>4000</v>
      </c>
      <c r="AS58" s="103">
        <f>IFERROR(MROUND(AP26,500),0)</f>
        <v>0</v>
      </c>
    </row>
    <row r="59" spans="43:45" ht="15" customHeight="1" x14ac:dyDescent="0.25">
      <c r="AQ59" s="103">
        <v>4000</v>
      </c>
      <c r="AR59" s="103">
        <v>150000</v>
      </c>
      <c r="AS59" s="104" t="s">
        <v>300</v>
      </c>
    </row>
    <row r="60" spans="43:45" ht="15" customHeight="1" x14ac:dyDescent="0.25"/>
    <row r="61" spans="43:45" ht="15" customHeight="1" x14ac:dyDescent="0.25"/>
    <row r="62" spans="43:45" ht="15" customHeight="1" x14ac:dyDescent="0.25"/>
    <row r="63" spans="43:45" ht="15" customHeight="1" x14ac:dyDescent="0.25"/>
    <row r="64" spans="43:45"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sheetData>
  <mergeCells count="22">
    <mergeCell ref="C8:D8"/>
    <mergeCell ref="C9:D9"/>
    <mergeCell ref="C10:D10"/>
    <mergeCell ref="C11:D11"/>
    <mergeCell ref="U6:AC6"/>
    <mergeCell ref="A1:K2"/>
    <mergeCell ref="C4:K4"/>
    <mergeCell ref="C5:D5"/>
    <mergeCell ref="C6:D6"/>
    <mergeCell ref="C7:D7"/>
    <mergeCell ref="G5:H5"/>
    <mergeCell ref="G6:H6"/>
    <mergeCell ref="AV32:AV40"/>
    <mergeCell ref="U16:AC16"/>
    <mergeCell ref="C12:D12"/>
    <mergeCell ref="C13:D13"/>
    <mergeCell ref="C18:R18"/>
    <mergeCell ref="C14:D14"/>
    <mergeCell ref="C15:D15"/>
    <mergeCell ref="C16:D16"/>
    <mergeCell ref="AV24:AV31"/>
    <mergeCell ref="T32:Y32"/>
  </mergeCells>
  <phoneticPr fontId="75" type="noConversion"/>
  <pageMargins left="0.7" right="0.7" top="0.75" bottom="0.75" header="0.3" footer="0.3"/>
  <pageSetup orientation="portrait" r:id="rId1"/>
  <ignoredErrors>
    <ignoredError sqref="R29" formulaRange="1"/>
    <ignoredError sqref="K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101CE-DD8D-4235-9A21-19A7A2D8CCE9}">
  <sheetPr codeName="Hoja12">
    <pageSetUpPr autoPageBreaks="0"/>
  </sheetPr>
  <dimension ref="A1:S54"/>
  <sheetViews>
    <sheetView showGridLines="0" showRowColHeaders="0" zoomScale="80" zoomScaleNormal="80" workbookViewId="0">
      <selection activeCell="P37" sqref="P37"/>
    </sheetView>
  </sheetViews>
  <sheetFormatPr baseColWidth="10" defaultColWidth="0" defaultRowHeight="15" zeroHeight="1" x14ac:dyDescent="0.25"/>
  <cols>
    <col min="1" max="17" width="11.42578125" style="120" customWidth="1"/>
    <col min="18" max="18" width="15.85546875" style="120" customWidth="1"/>
    <col min="19" max="21" width="11.42578125" style="120" hidden="1" customWidth="1"/>
    <col min="22" max="16384" width="11.42578125" style="120" hidden="1"/>
  </cols>
  <sheetData>
    <row r="1" spans="1:19" ht="15" customHeight="1" x14ac:dyDescent="1.05">
      <c r="A1" s="297" t="s">
        <v>0</v>
      </c>
      <c r="B1" s="297"/>
      <c r="C1" s="297"/>
      <c r="D1" s="297"/>
      <c r="E1" s="215"/>
      <c r="F1" s="128"/>
      <c r="G1" s="128"/>
      <c r="H1" s="128"/>
      <c r="I1" s="128"/>
      <c r="J1" s="128"/>
      <c r="K1" s="128"/>
      <c r="L1" s="128"/>
      <c r="M1" s="128"/>
      <c r="N1" s="128"/>
      <c r="O1" s="298" t="s">
        <v>1</v>
      </c>
      <c r="P1" s="298"/>
      <c r="Q1" s="298"/>
      <c r="R1" s="298"/>
      <c r="S1" s="121"/>
    </row>
    <row r="2" spans="1:19" ht="15" customHeight="1" x14ac:dyDescent="1.05">
      <c r="A2" s="297"/>
      <c r="B2" s="297"/>
      <c r="C2" s="297"/>
      <c r="D2" s="297"/>
      <c r="E2" s="215"/>
      <c r="F2" s="128"/>
      <c r="G2" s="128"/>
      <c r="H2" s="128"/>
      <c r="I2" s="128"/>
      <c r="J2" s="128"/>
      <c r="K2" s="128"/>
      <c r="L2" s="128"/>
      <c r="M2" s="128"/>
      <c r="N2" s="128"/>
      <c r="O2" s="298"/>
      <c r="P2" s="298"/>
      <c r="Q2" s="298"/>
      <c r="R2" s="298"/>
      <c r="S2" s="121"/>
    </row>
    <row r="3" spans="1:19" ht="15" customHeight="1" x14ac:dyDescent="1.05">
      <c r="A3" s="297"/>
      <c r="B3" s="297"/>
      <c r="C3" s="297"/>
      <c r="D3" s="297"/>
      <c r="E3" s="215"/>
      <c r="F3" s="128"/>
      <c r="G3" s="128"/>
      <c r="H3" s="128"/>
      <c r="I3" s="128"/>
      <c r="J3" s="128"/>
      <c r="K3" s="128"/>
      <c r="L3" s="128"/>
      <c r="M3" s="128"/>
      <c r="N3" s="128"/>
      <c r="O3" s="298"/>
      <c r="P3" s="298"/>
      <c r="Q3" s="298"/>
      <c r="R3" s="298"/>
      <c r="S3" s="121"/>
    </row>
    <row r="4" spans="1:19" ht="15" customHeight="1" x14ac:dyDescent="1.05">
      <c r="A4" s="297"/>
      <c r="B4" s="297"/>
      <c r="C4" s="297"/>
      <c r="D4" s="297"/>
      <c r="E4" s="215"/>
      <c r="F4" s="128"/>
      <c r="G4" s="128"/>
      <c r="H4" s="128"/>
      <c r="I4" s="128"/>
      <c r="J4" s="128"/>
      <c r="K4" s="128"/>
      <c r="L4" s="128"/>
      <c r="M4" s="128"/>
      <c r="N4" s="128"/>
      <c r="O4" s="298"/>
      <c r="P4" s="298"/>
      <c r="Q4" s="298"/>
      <c r="R4" s="298"/>
      <c r="S4" s="121"/>
    </row>
    <row r="5" spans="1:19" ht="15" customHeight="1" x14ac:dyDescent="1.05">
      <c r="A5" s="297"/>
      <c r="B5" s="297"/>
      <c r="C5" s="297"/>
      <c r="D5" s="297"/>
      <c r="E5" s="215"/>
      <c r="F5" s="128"/>
      <c r="G5" s="128"/>
      <c r="H5" s="128"/>
      <c r="I5" s="128"/>
      <c r="J5" s="128"/>
      <c r="K5" s="128"/>
      <c r="L5" s="128"/>
      <c r="M5" s="128"/>
      <c r="N5" s="128"/>
      <c r="O5" s="298"/>
      <c r="P5" s="298"/>
      <c r="Q5" s="298"/>
      <c r="R5" s="298"/>
      <c r="S5" s="121"/>
    </row>
    <row r="6" spans="1:19" ht="15" customHeight="1" x14ac:dyDescent="1.05">
      <c r="A6" s="297"/>
      <c r="B6" s="297"/>
      <c r="C6" s="297"/>
      <c r="D6" s="297"/>
      <c r="E6" s="215"/>
      <c r="F6" s="128"/>
      <c r="G6" s="128"/>
      <c r="H6" s="128"/>
      <c r="I6" s="128"/>
      <c r="J6" s="128"/>
      <c r="K6" s="128"/>
      <c r="L6" s="128"/>
      <c r="M6" s="128"/>
      <c r="N6" s="128"/>
      <c r="O6" s="298"/>
      <c r="P6" s="298"/>
      <c r="Q6" s="298"/>
      <c r="R6" s="298"/>
      <c r="S6" s="121"/>
    </row>
    <row r="7" spans="1:19" ht="15" customHeight="1" x14ac:dyDescent="0.95">
      <c r="A7" s="299" t="s">
        <v>2</v>
      </c>
      <c r="B7" s="299"/>
      <c r="C7" s="299"/>
      <c r="D7" s="299"/>
      <c r="E7" s="299"/>
      <c r="F7" s="128"/>
      <c r="G7" s="128"/>
      <c r="H7" s="128"/>
      <c r="I7" s="128"/>
      <c r="J7" s="128"/>
      <c r="K7" s="128"/>
      <c r="L7" s="128"/>
      <c r="M7" s="128"/>
      <c r="N7" s="128"/>
      <c r="O7" s="298"/>
      <c r="P7" s="298"/>
      <c r="Q7" s="298"/>
      <c r="R7" s="298"/>
      <c r="S7" s="121"/>
    </row>
    <row r="8" spans="1:19" ht="15" customHeight="1" x14ac:dyDescent="0.95">
      <c r="A8" s="299"/>
      <c r="B8" s="299"/>
      <c r="C8" s="299"/>
      <c r="D8" s="299"/>
      <c r="E8" s="299"/>
      <c r="F8" s="128"/>
      <c r="G8" s="128"/>
      <c r="H8" s="128"/>
      <c r="I8" s="128"/>
      <c r="J8" s="128"/>
      <c r="K8" s="128"/>
      <c r="L8" s="128"/>
      <c r="M8" s="128"/>
      <c r="N8" s="128"/>
      <c r="O8" s="298"/>
      <c r="P8" s="298"/>
      <c r="Q8" s="298"/>
      <c r="R8" s="298"/>
      <c r="S8" s="121"/>
    </row>
    <row r="9" spans="1:19" ht="15" customHeight="1" x14ac:dyDescent="0.95">
      <c r="A9" s="299"/>
      <c r="B9" s="299"/>
      <c r="C9" s="299"/>
      <c r="D9" s="299"/>
      <c r="E9" s="299"/>
      <c r="F9" s="128"/>
      <c r="G9" s="128"/>
      <c r="H9" s="128"/>
      <c r="I9" s="128"/>
      <c r="J9" s="128"/>
      <c r="K9" s="128"/>
      <c r="L9" s="128"/>
      <c r="M9" s="128"/>
      <c r="N9" s="128"/>
      <c r="O9" s="298"/>
      <c r="P9" s="298"/>
      <c r="Q9" s="298"/>
      <c r="R9" s="298"/>
      <c r="S9" s="121"/>
    </row>
    <row r="10" spans="1:19" ht="15" customHeight="1" x14ac:dyDescent="0.95">
      <c r="A10" s="299"/>
      <c r="B10" s="299"/>
      <c r="C10" s="299"/>
      <c r="D10" s="299"/>
      <c r="E10" s="299"/>
      <c r="F10" s="128"/>
      <c r="G10" s="128"/>
      <c r="H10" s="128"/>
      <c r="I10" s="128"/>
      <c r="J10" s="128"/>
      <c r="K10" s="128"/>
      <c r="L10" s="128"/>
      <c r="M10" s="128"/>
      <c r="N10" s="128"/>
      <c r="O10" s="298"/>
      <c r="P10" s="298"/>
      <c r="Q10" s="298"/>
      <c r="R10" s="298"/>
      <c r="S10" s="121"/>
    </row>
    <row r="11" spans="1:19" ht="15" customHeight="1" x14ac:dyDescent="0.25">
      <c r="A11" s="299"/>
      <c r="B11" s="299"/>
      <c r="C11" s="299"/>
      <c r="D11" s="299"/>
      <c r="E11" s="299"/>
      <c r="F11" s="129"/>
      <c r="G11" s="129"/>
      <c r="H11" s="129"/>
      <c r="I11" s="129"/>
      <c r="J11" s="129"/>
      <c r="K11" s="129"/>
      <c r="L11" s="129"/>
      <c r="M11" s="129"/>
      <c r="N11" s="128"/>
      <c r="O11" s="298"/>
      <c r="P11" s="298"/>
      <c r="Q11" s="298"/>
      <c r="R11" s="298"/>
    </row>
    <row r="12" spans="1:19" ht="15" customHeight="1" x14ac:dyDescent="0.25">
      <c r="A12" s="299"/>
      <c r="B12" s="299"/>
      <c r="C12" s="299"/>
      <c r="D12" s="299"/>
      <c r="E12" s="299"/>
      <c r="F12" s="129"/>
      <c r="G12" s="129"/>
      <c r="H12" s="129"/>
      <c r="I12" s="129"/>
      <c r="J12" s="129"/>
      <c r="K12" s="129"/>
      <c r="L12" s="129"/>
      <c r="M12" s="129"/>
      <c r="N12" s="128"/>
      <c r="O12" s="298"/>
      <c r="P12" s="298"/>
      <c r="Q12" s="298"/>
      <c r="R12" s="298"/>
    </row>
    <row r="13" spans="1:19" ht="15" customHeight="1" x14ac:dyDescent="0.25">
      <c r="A13" s="123"/>
      <c r="B13" s="123"/>
      <c r="C13" s="123"/>
      <c r="D13" s="123"/>
      <c r="F13" s="129"/>
      <c r="G13" s="129"/>
      <c r="H13" s="129"/>
      <c r="I13" s="129"/>
      <c r="J13" s="129"/>
      <c r="K13" s="129"/>
      <c r="L13" s="129"/>
      <c r="M13" s="129"/>
      <c r="N13" s="128"/>
      <c r="O13" s="298"/>
      <c r="P13" s="298"/>
      <c r="Q13" s="298"/>
      <c r="R13" s="298"/>
    </row>
    <row r="14" spans="1:19" ht="15" customHeight="1" x14ac:dyDescent="0.25">
      <c r="A14" s="123"/>
      <c r="B14" s="123"/>
      <c r="C14" s="123"/>
      <c r="D14" s="123"/>
      <c r="F14" s="130"/>
      <c r="G14" s="130"/>
      <c r="H14" s="130"/>
      <c r="I14" s="130"/>
      <c r="J14" s="130"/>
      <c r="K14" s="130"/>
      <c r="L14" s="130"/>
      <c r="M14" s="130"/>
      <c r="N14" s="128"/>
      <c r="O14" s="298"/>
      <c r="P14" s="298"/>
      <c r="Q14" s="298"/>
      <c r="R14" s="298"/>
    </row>
    <row r="15" spans="1:19" ht="15" customHeight="1" x14ac:dyDescent="0.25">
      <c r="A15" s="123"/>
      <c r="B15" s="123"/>
      <c r="C15" s="123"/>
      <c r="D15" s="123"/>
      <c r="F15" s="130"/>
      <c r="G15" s="130"/>
      <c r="H15" s="130"/>
      <c r="I15" s="130"/>
      <c r="J15" s="130"/>
      <c r="K15" s="130"/>
      <c r="L15" s="130"/>
      <c r="M15" s="130"/>
      <c r="N15" s="128"/>
      <c r="O15" s="298"/>
      <c r="P15" s="298"/>
      <c r="Q15" s="298"/>
      <c r="R15" s="298"/>
    </row>
    <row r="16" spans="1:19" ht="15" customHeight="1" x14ac:dyDescent="0.25">
      <c r="A16" s="123"/>
      <c r="B16" s="123"/>
      <c r="C16" s="123"/>
      <c r="D16" s="123"/>
      <c r="F16" s="130"/>
      <c r="G16" s="130"/>
      <c r="H16" s="130"/>
      <c r="I16" s="130"/>
      <c r="J16" s="130"/>
      <c r="K16" s="130"/>
      <c r="L16" s="130"/>
      <c r="M16" s="130"/>
      <c r="N16" s="128"/>
      <c r="O16" s="298"/>
      <c r="P16" s="298"/>
      <c r="Q16" s="298"/>
      <c r="R16" s="298"/>
    </row>
    <row r="17" spans="1:18" ht="15" customHeight="1" x14ac:dyDescent="0.25">
      <c r="A17" s="123"/>
      <c r="B17" s="123"/>
      <c r="C17" s="123"/>
      <c r="D17" s="123"/>
      <c r="F17" s="130"/>
      <c r="G17" s="130"/>
      <c r="H17" s="130"/>
      <c r="I17" s="130"/>
      <c r="J17" s="130"/>
      <c r="K17" s="130"/>
      <c r="L17" s="130"/>
      <c r="M17" s="130"/>
      <c r="N17" s="128"/>
      <c r="O17" s="298"/>
      <c r="P17" s="298"/>
      <c r="Q17" s="298"/>
      <c r="R17" s="298"/>
    </row>
    <row r="18" spans="1:18" ht="15" customHeight="1" x14ac:dyDescent="0.25">
      <c r="A18" s="123"/>
      <c r="B18" s="123"/>
      <c r="C18" s="123"/>
      <c r="D18" s="123"/>
      <c r="F18" s="130"/>
      <c r="G18" s="130"/>
      <c r="H18" s="130"/>
      <c r="I18" s="130"/>
      <c r="J18" s="130"/>
      <c r="K18" s="130"/>
      <c r="L18" s="130"/>
      <c r="M18" s="130"/>
      <c r="N18" s="128"/>
      <c r="O18" s="298"/>
      <c r="P18" s="298"/>
      <c r="Q18" s="298"/>
      <c r="R18" s="298"/>
    </row>
    <row r="19" spans="1:18" ht="15" customHeight="1" x14ac:dyDescent="0.25">
      <c r="A19" s="123"/>
      <c r="B19" s="123"/>
      <c r="C19" s="123"/>
      <c r="D19" s="123"/>
      <c r="F19" s="130"/>
      <c r="G19" s="130"/>
      <c r="H19" s="130"/>
      <c r="I19" s="130"/>
      <c r="J19" s="130"/>
      <c r="K19" s="130"/>
      <c r="L19" s="130"/>
      <c r="M19" s="130"/>
      <c r="N19" s="128"/>
      <c r="O19" s="298"/>
      <c r="P19" s="298"/>
      <c r="Q19" s="298"/>
      <c r="R19" s="298"/>
    </row>
    <row r="20" spans="1:18" ht="15" customHeight="1" x14ac:dyDescent="0.25">
      <c r="A20" s="123"/>
      <c r="B20" s="123"/>
      <c r="C20" s="123"/>
      <c r="D20" s="123"/>
      <c r="F20" s="131"/>
      <c r="G20" s="131"/>
      <c r="H20" s="131"/>
      <c r="I20" s="131"/>
      <c r="J20" s="131"/>
      <c r="K20" s="131"/>
      <c r="L20" s="131"/>
      <c r="M20" s="131"/>
      <c r="N20" s="128"/>
      <c r="O20" s="298"/>
      <c r="P20" s="298"/>
      <c r="Q20" s="298"/>
      <c r="R20" s="298"/>
    </row>
    <row r="21" spans="1:18" ht="15" customHeight="1" x14ac:dyDescent="0.25">
      <c r="A21" s="123"/>
      <c r="B21" s="123"/>
      <c r="C21" s="123"/>
      <c r="D21" s="123"/>
      <c r="F21" s="131"/>
      <c r="G21" s="131"/>
      <c r="H21" s="131"/>
      <c r="I21" s="131"/>
      <c r="J21" s="131"/>
      <c r="K21" s="131"/>
      <c r="L21" s="131"/>
      <c r="M21" s="131"/>
      <c r="N21" s="128"/>
      <c r="O21" s="298"/>
      <c r="P21" s="298"/>
      <c r="Q21" s="298"/>
      <c r="R21" s="298"/>
    </row>
    <row r="22" spans="1:18" ht="15" customHeight="1" x14ac:dyDescent="0.25">
      <c r="A22" s="123"/>
      <c r="B22" s="123"/>
      <c r="C22" s="123"/>
      <c r="D22" s="123"/>
      <c r="F22" s="131"/>
      <c r="G22" s="131"/>
      <c r="H22" s="131"/>
      <c r="I22" s="131"/>
      <c r="J22" s="131"/>
      <c r="K22" s="131"/>
      <c r="L22" s="131"/>
      <c r="M22" s="131"/>
      <c r="N22" s="128"/>
      <c r="O22" s="298"/>
      <c r="P22" s="298"/>
      <c r="Q22" s="298"/>
      <c r="R22" s="298"/>
    </row>
    <row r="23" spans="1:18" ht="15" customHeight="1" x14ac:dyDescent="0.25">
      <c r="A23" s="123"/>
      <c r="B23" s="123"/>
      <c r="C23" s="123"/>
      <c r="D23" s="123"/>
      <c r="F23" s="131"/>
      <c r="G23" s="131"/>
      <c r="H23" s="131"/>
      <c r="I23" s="131"/>
      <c r="J23" s="131"/>
      <c r="K23" s="131"/>
      <c r="L23" s="131"/>
      <c r="M23" s="131"/>
      <c r="N23" s="128"/>
      <c r="O23" s="298"/>
      <c r="P23" s="298"/>
      <c r="Q23" s="298"/>
      <c r="R23" s="298"/>
    </row>
    <row r="24" spans="1:18" ht="15" customHeight="1" x14ac:dyDescent="0.25">
      <c r="F24" s="133"/>
      <c r="G24" s="133"/>
      <c r="H24" s="133"/>
      <c r="I24" s="133"/>
      <c r="J24" s="133"/>
      <c r="K24" s="133"/>
      <c r="L24" s="133"/>
      <c r="M24" s="133"/>
      <c r="N24" s="128"/>
    </row>
    <row r="25" spans="1:18" ht="15" customHeight="1" x14ac:dyDescent="0.25">
      <c r="F25" s="133"/>
      <c r="G25" s="133"/>
      <c r="H25" s="133"/>
      <c r="I25" s="133"/>
      <c r="J25" s="133"/>
      <c r="K25" s="133"/>
      <c r="L25" s="133"/>
      <c r="M25" s="133"/>
      <c r="N25" s="128"/>
    </row>
    <row r="26" spans="1:18" ht="15" customHeight="1" x14ac:dyDescent="0.25">
      <c r="F26" s="133"/>
      <c r="G26" s="133"/>
      <c r="H26" s="133"/>
      <c r="I26" s="133"/>
      <c r="J26" s="133"/>
      <c r="K26" s="133"/>
      <c r="L26" s="133"/>
      <c r="M26" s="133"/>
      <c r="N26" s="128"/>
    </row>
    <row r="27" spans="1:18" ht="15" customHeight="1" x14ac:dyDescent="0.25">
      <c r="F27" s="133"/>
      <c r="G27" s="133"/>
      <c r="H27" s="133"/>
      <c r="I27" s="133"/>
      <c r="J27" s="133"/>
      <c r="K27" s="133"/>
      <c r="L27" s="133"/>
      <c r="M27" s="133"/>
      <c r="N27" s="128"/>
    </row>
    <row r="28" spans="1:18" ht="15" customHeight="1" x14ac:dyDescent="0.25">
      <c r="F28" s="133"/>
      <c r="G28" s="133"/>
      <c r="H28" s="133"/>
      <c r="I28" s="133"/>
      <c r="J28" s="133"/>
      <c r="K28" s="133"/>
      <c r="L28" s="133"/>
      <c r="M28" s="133"/>
      <c r="N28" s="128"/>
    </row>
    <row r="29" spans="1:18" ht="15" customHeight="1" x14ac:dyDescent="0.25">
      <c r="F29" s="133"/>
      <c r="G29" s="133"/>
      <c r="H29" s="133"/>
      <c r="I29" s="133"/>
      <c r="J29" s="133"/>
      <c r="K29" s="133"/>
      <c r="L29" s="133"/>
      <c r="M29" s="133"/>
      <c r="N29" s="128"/>
    </row>
    <row r="30" spans="1:18" ht="15" customHeight="1" x14ac:dyDescent="0.25">
      <c r="F30" s="133"/>
      <c r="G30" s="133"/>
      <c r="H30" s="133"/>
      <c r="I30" s="133"/>
      <c r="J30" s="133"/>
      <c r="K30" s="133"/>
      <c r="L30" s="133"/>
      <c r="M30" s="133"/>
      <c r="N30" s="128"/>
    </row>
    <row r="31" spans="1:18" ht="15" customHeight="1" x14ac:dyDescent="0.25">
      <c r="F31" s="133"/>
      <c r="G31" s="133"/>
      <c r="H31" s="133"/>
      <c r="I31" s="133"/>
      <c r="J31" s="133"/>
      <c r="K31" s="133"/>
      <c r="L31" s="133"/>
      <c r="M31" s="133"/>
      <c r="N31" s="128"/>
    </row>
    <row r="32" spans="1:18" ht="15" customHeight="1" x14ac:dyDescent="0.25">
      <c r="F32" s="133"/>
      <c r="G32" s="133"/>
      <c r="H32" s="133"/>
      <c r="I32" s="133"/>
      <c r="J32" s="133"/>
      <c r="K32" s="133"/>
      <c r="L32" s="133"/>
      <c r="M32" s="133"/>
      <c r="N32" s="128"/>
    </row>
    <row r="33" spans="6:14" ht="15" customHeight="1" x14ac:dyDescent="0.25">
      <c r="F33" s="133"/>
      <c r="G33" s="133"/>
      <c r="H33" s="133"/>
      <c r="I33" s="133"/>
      <c r="J33" s="133"/>
      <c r="K33" s="133"/>
      <c r="L33" s="133"/>
      <c r="M33" s="133"/>
      <c r="N33" s="128"/>
    </row>
    <row r="34" spans="6:14" ht="15" customHeight="1" x14ac:dyDescent="0.25">
      <c r="F34" s="133"/>
      <c r="G34" s="133"/>
      <c r="H34" s="133"/>
      <c r="I34" s="133"/>
      <c r="J34" s="133"/>
      <c r="K34" s="133"/>
      <c r="L34" s="133"/>
      <c r="M34" s="133"/>
      <c r="N34" s="128"/>
    </row>
    <row r="35" spans="6:14" ht="15" customHeight="1" x14ac:dyDescent="0.25">
      <c r="F35" s="133"/>
      <c r="G35" s="133"/>
      <c r="H35" s="133"/>
      <c r="I35" s="133"/>
      <c r="J35" s="133"/>
      <c r="K35" s="133"/>
      <c r="L35" s="133"/>
      <c r="M35" s="133"/>
      <c r="N35" s="128"/>
    </row>
    <row r="36" spans="6:14" ht="15" customHeight="1" x14ac:dyDescent="0.25">
      <c r="F36" s="133"/>
      <c r="G36" s="133"/>
      <c r="H36" s="133"/>
      <c r="I36" s="133"/>
      <c r="J36" s="133"/>
      <c r="K36" s="133"/>
      <c r="L36" s="133"/>
      <c r="M36" s="133"/>
      <c r="N36" s="128"/>
    </row>
    <row r="37" spans="6:14" ht="15" customHeight="1" x14ac:dyDescent="0.25">
      <c r="F37" s="133"/>
      <c r="G37" s="133"/>
      <c r="H37" s="133"/>
      <c r="I37" s="133"/>
      <c r="J37" s="133"/>
      <c r="K37" s="133"/>
      <c r="L37" s="133"/>
      <c r="M37" s="133"/>
      <c r="N37" s="128"/>
    </row>
    <row r="38" spans="6:14" ht="15" customHeight="1" x14ac:dyDescent="0.25">
      <c r="F38" s="133"/>
      <c r="G38" s="133"/>
      <c r="H38" s="133"/>
      <c r="I38" s="133"/>
      <c r="J38" s="133"/>
      <c r="K38" s="133"/>
      <c r="L38" s="133"/>
      <c r="M38" s="133"/>
      <c r="N38" s="128"/>
    </row>
    <row r="39" spans="6:14" ht="15" customHeight="1" x14ac:dyDescent="0.25">
      <c r="F39" s="133"/>
      <c r="G39" s="133"/>
      <c r="H39" s="133"/>
      <c r="I39" s="133"/>
      <c r="J39" s="133"/>
      <c r="K39" s="133"/>
      <c r="L39" s="133"/>
      <c r="M39" s="133"/>
      <c r="N39" s="128"/>
    </row>
    <row r="40" spans="6:14" ht="15" customHeight="1" x14ac:dyDescent="0.25">
      <c r="F40" s="133"/>
      <c r="G40" s="133"/>
      <c r="H40" s="133"/>
      <c r="I40" s="133"/>
      <c r="J40" s="133"/>
      <c r="K40" s="133"/>
      <c r="L40" s="133"/>
      <c r="M40" s="133"/>
      <c r="N40" s="128"/>
    </row>
    <row r="41" spans="6:14" ht="15" customHeight="1" x14ac:dyDescent="0.25">
      <c r="F41" s="133"/>
      <c r="G41" s="133"/>
      <c r="H41" s="133"/>
      <c r="I41" s="133"/>
      <c r="J41" s="133"/>
      <c r="K41" s="133"/>
      <c r="L41" s="133"/>
      <c r="M41" s="133"/>
      <c r="N41" s="128"/>
    </row>
    <row r="42" spans="6:14" ht="15" customHeight="1" x14ac:dyDescent="0.25">
      <c r="F42" s="133"/>
      <c r="G42" s="133"/>
      <c r="H42" s="133"/>
      <c r="I42" s="133"/>
      <c r="J42" s="133"/>
      <c r="K42" s="133"/>
      <c r="L42" s="133"/>
      <c r="M42" s="133"/>
      <c r="N42" s="128"/>
    </row>
    <row r="43" spans="6:14" ht="15" customHeight="1" x14ac:dyDescent="0.25">
      <c r="F43" s="133"/>
      <c r="G43" s="133"/>
      <c r="H43" s="133"/>
      <c r="I43" s="133"/>
      <c r="J43" s="133"/>
      <c r="K43" s="133"/>
      <c r="L43" s="133"/>
      <c r="M43" s="133"/>
      <c r="N43" s="128"/>
    </row>
    <row r="44" spans="6:14" ht="15" customHeight="1" x14ac:dyDescent="0.25">
      <c r="F44" s="133"/>
      <c r="G44" s="133"/>
      <c r="H44" s="133"/>
      <c r="I44" s="133"/>
      <c r="J44" s="133"/>
      <c r="K44" s="133"/>
      <c r="L44" s="133"/>
      <c r="M44" s="133"/>
      <c r="N44" s="128"/>
    </row>
    <row r="45" spans="6:14" ht="15" customHeight="1" x14ac:dyDescent="0.25">
      <c r="F45" s="133"/>
      <c r="G45" s="133"/>
      <c r="H45" s="133"/>
      <c r="I45" s="133"/>
      <c r="J45" s="133"/>
      <c r="K45" s="133"/>
      <c r="L45" s="133"/>
      <c r="M45" s="133"/>
      <c r="N45" s="128"/>
    </row>
    <row r="46" spans="6:14" ht="15" customHeight="1" x14ac:dyDescent="0.25">
      <c r="F46" s="133"/>
      <c r="G46" s="133"/>
      <c r="H46" s="133"/>
      <c r="I46" s="133"/>
      <c r="J46" s="133"/>
      <c r="K46" s="133"/>
      <c r="L46" s="133"/>
      <c r="M46" s="133"/>
      <c r="N46" s="128"/>
    </row>
    <row r="47" spans="6:14" ht="15" customHeight="1" x14ac:dyDescent="0.25">
      <c r="F47" s="133"/>
      <c r="G47" s="133"/>
      <c r="H47" s="133"/>
      <c r="I47" s="133"/>
      <c r="J47" s="133"/>
      <c r="K47" s="133"/>
      <c r="L47" s="133"/>
      <c r="M47" s="133"/>
      <c r="N47" s="128"/>
    </row>
    <row r="48" spans="6:14" ht="15" customHeight="1" x14ac:dyDescent="0.25">
      <c r="F48" s="133"/>
      <c r="G48" s="133"/>
      <c r="H48" s="133"/>
      <c r="I48" s="133"/>
      <c r="J48" s="133"/>
      <c r="K48" s="133"/>
      <c r="L48" s="133"/>
      <c r="M48" s="133"/>
      <c r="N48" s="128"/>
    </row>
    <row r="49" spans="1:14" ht="15" customHeight="1" x14ac:dyDescent="0.25">
      <c r="A49" s="123"/>
      <c r="B49" s="123"/>
      <c r="C49" s="123"/>
      <c r="D49" s="123"/>
      <c r="F49" s="133"/>
      <c r="G49" s="133"/>
      <c r="H49" s="133"/>
      <c r="I49" s="133"/>
      <c r="J49" s="133"/>
      <c r="K49" s="133"/>
      <c r="L49" s="133"/>
      <c r="M49" s="133"/>
      <c r="N49" s="128"/>
    </row>
    <row r="50" spans="1:14" ht="15" customHeight="1" x14ac:dyDescent="0.25">
      <c r="A50" s="123"/>
      <c r="B50" s="123"/>
      <c r="C50" s="123"/>
      <c r="D50" s="123"/>
      <c r="F50" s="133"/>
      <c r="G50" s="133"/>
      <c r="H50" s="133"/>
      <c r="I50" s="133"/>
      <c r="J50" s="133"/>
      <c r="K50" s="133"/>
      <c r="L50" s="133"/>
      <c r="M50" s="133"/>
      <c r="N50" s="128"/>
    </row>
    <row r="51" spans="1:14" ht="15" customHeight="1" x14ac:dyDescent="0.25">
      <c r="A51" s="123"/>
      <c r="B51" s="123"/>
      <c r="C51" s="123"/>
      <c r="D51" s="123"/>
      <c r="F51" s="128"/>
      <c r="G51" s="128"/>
      <c r="H51" s="131"/>
      <c r="I51" s="131"/>
      <c r="J51" s="131"/>
      <c r="K51" s="131"/>
      <c r="L51" s="128"/>
      <c r="M51" s="128"/>
      <c r="N51" s="128"/>
    </row>
    <row r="52" spans="1:14" ht="15" customHeight="1" x14ac:dyDescent="0.25">
      <c r="A52" s="123"/>
      <c r="B52" s="123"/>
      <c r="C52" s="123"/>
      <c r="D52" s="123"/>
      <c r="F52" s="128"/>
      <c r="G52" s="128"/>
      <c r="H52" s="131"/>
      <c r="I52" s="131"/>
      <c r="J52" s="131"/>
      <c r="K52" s="131"/>
      <c r="L52" s="128"/>
      <c r="M52" s="128"/>
      <c r="N52" s="128"/>
    </row>
    <row r="53" spans="1:14" ht="15" hidden="1" customHeight="1" x14ac:dyDescent="0.25">
      <c r="A53" s="123"/>
      <c r="B53" s="123"/>
      <c r="C53" s="123"/>
      <c r="D53" s="123"/>
      <c r="H53" s="122"/>
      <c r="I53" s="122"/>
      <c r="J53" s="122"/>
      <c r="K53" s="122"/>
    </row>
    <row r="54" spans="1:14" ht="15" hidden="1" customHeight="1" x14ac:dyDescent="0.25">
      <c r="A54" s="123"/>
      <c r="B54" s="123"/>
      <c r="C54" s="123"/>
      <c r="D54" s="123"/>
      <c r="H54" s="122"/>
      <c r="I54" s="122"/>
      <c r="J54" s="122"/>
      <c r="K54" s="122"/>
    </row>
  </sheetData>
  <sheetProtection algorithmName="SHA-512" hashValue="qAINSP8jI5JTOkXO7zWzJ3LI2k/NIt9l+zRFenpHo5FWjLra+JXxYOHx2M7b7iT7IcCW+cXI1RebLShH8+CTzA==" saltValue="5lzV4dyd3q3AcGeASDW1bg==" spinCount="100000" sheet="1" objects="1" scenarios="1" selectLockedCells="1" selectUnlockedCells="1"/>
  <mergeCells count="3">
    <mergeCell ref="A1:D6"/>
    <mergeCell ref="O1:R23"/>
    <mergeCell ref="A7:E12"/>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C2672"/>
  <sheetViews>
    <sheetView showGridLines="0" workbookViewId="0">
      <selection activeCell="C2670" sqref="C2670"/>
    </sheetView>
  </sheetViews>
  <sheetFormatPr baseColWidth="10" defaultColWidth="0" defaultRowHeight="15" zeroHeight="1" x14ac:dyDescent="0.25"/>
  <cols>
    <col min="1" max="1" width="14.85546875" style="6" bestFit="1" customWidth="1"/>
    <col min="2" max="2" width="47.85546875" style="6" bestFit="1" customWidth="1"/>
    <col min="3" max="3" width="15.42578125" style="77" bestFit="1" customWidth="1"/>
    <col min="4" max="16384" width="11.42578125" hidden="1"/>
  </cols>
  <sheetData>
    <row r="1" spans="1:3" x14ac:dyDescent="0.25">
      <c r="A1" s="6" t="s">
        <v>308</v>
      </c>
      <c r="B1" s="6" t="s">
        <v>309</v>
      </c>
      <c r="C1" s="6" t="s">
        <v>310</v>
      </c>
    </row>
    <row r="2" spans="1:3" x14ac:dyDescent="0.25">
      <c r="A2" s="6">
        <v>2000225</v>
      </c>
      <c r="B2" s="6" t="s">
        <v>311</v>
      </c>
      <c r="C2" s="78">
        <v>36288</v>
      </c>
    </row>
    <row r="3" spans="1:3" x14ac:dyDescent="0.25">
      <c r="A3" s="6">
        <v>2000226</v>
      </c>
      <c r="B3" s="6" t="s">
        <v>312</v>
      </c>
      <c r="C3" s="77">
        <v>39741</v>
      </c>
    </row>
    <row r="4" spans="1:3" x14ac:dyDescent="0.25">
      <c r="A4" s="6">
        <v>2000227</v>
      </c>
      <c r="B4" s="6" t="s">
        <v>313</v>
      </c>
      <c r="C4" s="77">
        <v>45498</v>
      </c>
    </row>
    <row r="5" spans="1:3" x14ac:dyDescent="0.25">
      <c r="A5" s="6">
        <v>2000228</v>
      </c>
      <c r="B5" s="6" t="s">
        <v>314</v>
      </c>
      <c r="C5" s="77">
        <v>51615</v>
      </c>
    </row>
    <row r="6" spans="1:3" x14ac:dyDescent="0.25">
      <c r="A6" s="6">
        <v>2000245</v>
      </c>
      <c r="B6" s="6" t="s">
        <v>315</v>
      </c>
      <c r="C6" s="77">
        <v>14856</v>
      </c>
    </row>
    <row r="7" spans="1:3" x14ac:dyDescent="0.25">
      <c r="A7" s="6">
        <v>2000246</v>
      </c>
      <c r="B7" s="6" t="s">
        <v>316</v>
      </c>
      <c r="C7" s="77">
        <v>18412</v>
      </c>
    </row>
    <row r="8" spans="1:3" x14ac:dyDescent="0.25">
      <c r="A8" s="6">
        <v>2000247</v>
      </c>
      <c r="B8" s="6" t="s">
        <v>317</v>
      </c>
      <c r="C8" s="77">
        <v>18412</v>
      </c>
    </row>
    <row r="9" spans="1:3" x14ac:dyDescent="0.25">
      <c r="A9" s="6">
        <v>2000248</v>
      </c>
      <c r="B9" s="6" t="s">
        <v>318</v>
      </c>
      <c r="C9" s="77">
        <v>20229</v>
      </c>
    </row>
    <row r="10" spans="1:3" x14ac:dyDescent="0.25">
      <c r="A10" s="6">
        <v>2000249</v>
      </c>
      <c r="B10" s="6" t="s">
        <v>319</v>
      </c>
      <c r="C10" s="77">
        <v>18398</v>
      </c>
    </row>
    <row r="11" spans="1:3" x14ac:dyDescent="0.25">
      <c r="A11" s="6">
        <v>2000250</v>
      </c>
      <c r="B11" s="6" t="s">
        <v>320</v>
      </c>
      <c r="C11" s="77">
        <v>21450</v>
      </c>
    </row>
    <row r="12" spans="1:3" x14ac:dyDescent="0.25">
      <c r="A12" s="6">
        <v>2000251</v>
      </c>
      <c r="B12" s="6" t="s">
        <v>321</v>
      </c>
      <c r="C12" s="77">
        <v>19633</v>
      </c>
    </row>
    <row r="13" spans="1:3" x14ac:dyDescent="0.25">
      <c r="A13" s="6">
        <v>2000252</v>
      </c>
      <c r="B13" s="6" t="s">
        <v>322</v>
      </c>
      <c r="C13" s="77">
        <v>14856</v>
      </c>
    </row>
    <row r="14" spans="1:3" x14ac:dyDescent="0.25">
      <c r="A14" s="6">
        <v>2000253</v>
      </c>
      <c r="B14" s="6" t="s">
        <v>323</v>
      </c>
      <c r="C14" s="77">
        <v>18412</v>
      </c>
    </row>
    <row r="15" spans="1:3" x14ac:dyDescent="0.25">
      <c r="A15" s="6">
        <v>2000254</v>
      </c>
      <c r="B15" s="6" t="s">
        <v>324</v>
      </c>
      <c r="C15" s="77">
        <v>18412</v>
      </c>
    </row>
    <row r="16" spans="1:3" x14ac:dyDescent="0.25">
      <c r="A16" s="6">
        <v>2000255</v>
      </c>
      <c r="B16" s="6" t="s">
        <v>325</v>
      </c>
      <c r="C16" s="77">
        <v>20229</v>
      </c>
    </row>
    <row r="17" spans="1:3" x14ac:dyDescent="0.25">
      <c r="A17" s="6">
        <v>2000256</v>
      </c>
      <c r="B17" s="6" t="s">
        <v>326</v>
      </c>
      <c r="C17" s="77">
        <v>18398</v>
      </c>
    </row>
    <row r="18" spans="1:3" x14ac:dyDescent="0.25">
      <c r="A18" s="6">
        <v>2000257</v>
      </c>
      <c r="B18" s="6" t="s">
        <v>327</v>
      </c>
      <c r="C18" s="77">
        <v>21450</v>
      </c>
    </row>
    <row r="19" spans="1:3" x14ac:dyDescent="0.25">
      <c r="A19" s="6">
        <v>2000258</v>
      </c>
      <c r="B19" s="6" t="s">
        <v>328</v>
      </c>
      <c r="C19" s="77">
        <v>23355</v>
      </c>
    </row>
    <row r="20" spans="1:3" x14ac:dyDescent="0.25">
      <c r="A20" s="6">
        <v>2000264</v>
      </c>
      <c r="B20" s="6" t="s">
        <v>329</v>
      </c>
      <c r="C20" s="77">
        <v>162584</v>
      </c>
    </row>
    <row r="21" spans="1:3" x14ac:dyDescent="0.25">
      <c r="A21" s="6">
        <v>2000271</v>
      </c>
      <c r="B21" s="6" t="s">
        <v>330</v>
      </c>
      <c r="C21" s="77">
        <v>3806</v>
      </c>
    </row>
    <row r="22" spans="1:3" x14ac:dyDescent="0.25">
      <c r="A22" s="6">
        <v>2000281</v>
      </c>
      <c r="B22" s="6" t="s">
        <v>331</v>
      </c>
      <c r="C22" s="77">
        <v>2736</v>
      </c>
    </row>
    <row r="23" spans="1:3" x14ac:dyDescent="0.25">
      <c r="A23" s="6">
        <v>2000282</v>
      </c>
      <c r="B23" s="6" t="s">
        <v>332</v>
      </c>
      <c r="C23" s="77">
        <v>4444</v>
      </c>
    </row>
    <row r="24" spans="1:3" x14ac:dyDescent="0.25">
      <c r="A24" s="6">
        <v>2000283</v>
      </c>
      <c r="B24" s="6" t="s">
        <v>333</v>
      </c>
      <c r="C24" s="77">
        <v>8032</v>
      </c>
    </row>
    <row r="25" spans="1:3" x14ac:dyDescent="0.25">
      <c r="A25" s="6">
        <v>2000284</v>
      </c>
      <c r="B25" s="6" t="s">
        <v>334</v>
      </c>
      <c r="C25" s="77">
        <v>14028</v>
      </c>
    </row>
    <row r="26" spans="1:3" x14ac:dyDescent="0.25">
      <c r="A26" s="6">
        <v>2000285</v>
      </c>
      <c r="B26" s="6" t="s">
        <v>335</v>
      </c>
      <c r="C26" s="77">
        <v>29428</v>
      </c>
    </row>
    <row r="27" spans="1:3" x14ac:dyDescent="0.25">
      <c r="A27" s="6">
        <v>2000286</v>
      </c>
      <c r="B27" s="6" t="s">
        <v>336</v>
      </c>
      <c r="C27" s="77">
        <v>59928</v>
      </c>
    </row>
    <row r="28" spans="1:3" x14ac:dyDescent="0.25">
      <c r="A28" s="6">
        <v>2000287</v>
      </c>
      <c r="B28" s="6" t="s">
        <v>337</v>
      </c>
      <c r="C28" s="77">
        <v>86625</v>
      </c>
    </row>
    <row r="29" spans="1:3" x14ac:dyDescent="0.25">
      <c r="A29" s="6">
        <v>2000288</v>
      </c>
      <c r="B29" s="6" t="s">
        <v>338</v>
      </c>
      <c r="C29" s="77">
        <v>97453</v>
      </c>
    </row>
    <row r="30" spans="1:3" x14ac:dyDescent="0.25">
      <c r="A30" s="6">
        <v>2000289</v>
      </c>
      <c r="B30" s="6" t="s">
        <v>339</v>
      </c>
      <c r="C30" s="77">
        <v>107452</v>
      </c>
    </row>
    <row r="31" spans="1:3" x14ac:dyDescent="0.25">
      <c r="A31" s="6">
        <v>2000290</v>
      </c>
      <c r="B31" s="6" t="s">
        <v>340</v>
      </c>
      <c r="C31" s="77">
        <v>116888</v>
      </c>
    </row>
    <row r="32" spans="1:3" x14ac:dyDescent="0.25">
      <c r="A32" s="6">
        <v>2000291</v>
      </c>
      <c r="B32" s="6" t="s">
        <v>341</v>
      </c>
      <c r="C32" s="77">
        <v>128850</v>
      </c>
    </row>
    <row r="33" spans="1:3" x14ac:dyDescent="0.25">
      <c r="A33" s="6">
        <v>2000292</v>
      </c>
      <c r="B33" s="6" t="s">
        <v>342</v>
      </c>
      <c r="C33" s="77">
        <v>137706</v>
      </c>
    </row>
    <row r="34" spans="1:3" x14ac:dyDescent="0.25">
      <c r="A34" s="6">
        <v>2000293</v>
      </c>
      <c r="B34" s="6" t="s">
        <v>2777</v>
      </c>
      <c r="C34" s="77">
        <v>155083</v>
      </c>
    </row>
    <row r="35" spans="1:3" x14ac:dyDescent="0.25">
      <c r="A35" s="6">
        <v>2000294</v>
      </c>
      <c r="B35" s="6" t="s">
        <v>343</v>
      </c>
      <c r="C35" s="77">
        <v>166929</v>
      </c>
    </row>
    <row r="36" spans="1:3" x14ac:dyDescent="0.25">
      <c r="A36" s="6">
        <v>2000295</v>
      </c>
      <c r="B36" s="6" t="s">
        <v>344</v>
      </c>
      <c r="C36" s="77">
        <v>186856</v>
      </c>
    </row>
    <row r="37" spans="1:3" x14ac:dyDescent="0.25">
      <c r="A37" s="6">
        <v>2000296</v>
      </c>
      <c r="B37" s="6" t="s">
        <v>345</v>
      </c>
      <c r="C37" s="77">
        <v>193811</v>
      </c>
    </row>
    <row r="38" spans="1:3" x14ac:dyDescent="0.25">
      <c r="A38" s="6">
        <v>2000297</v>
      </c>
      <c r="B38" s="6" t="s">
        <v>346</v>
      </c>
      <c r="C38" s="77">
        <v>193811</v>
      </c>
    </row>
    <row r="39" spans="1:3" x14ac:dyDescent="0.25">
      <c r="A39" s="6">
        <v>2000298</v>
      </c>
      <c r="B39" s="6" t="s">
        <v>347</v>
      </c>
      <c r="C39" s="77">
        <v>200142</v>
      </c>
    </row>
    <row r="40" spans="1:3" x14ac:dyDescent="0.25">
      <c r="A40" s="6">
        <v>2000299</v>
      </c>
      <c r="B40" s="6" t="s">
        <v>348</v>
      </c>
      <c r="C40" s="77">
        <v>215724</v>
      </c>
    </row>
    <row r="41" spans="1:3" x14ac:dyDescent="0.25">
      <c r="A41" s="6">
        <v>2000300</v>
      </c>
      <c r="B41" s="6" t="s">
        <v>349</v>
      </c>
      <c r="C41" s="77">
        <v>238128</v>
      </c>
    </row>
    <row r="42" spans="1:3" x14ac:dyDescent="0.25">
      <c r="A42" s="6">
        <v>2000305</v>
      </c>
      <c r="B42" s="6" t="s">
        <v>350</v>
      </c>
      <c r="C42" s="77">
        <v>48188</v>
      </c>
    </row>
    <row r="43" spans="1:3" x14ac:dyDescent="0.25">
      <c r="A43" s="6">
        <v>2000306</v>
      </c>
      <c r="B43" s="6" t="s">
        <v>351</v>
      </c>
      <c r="C43" s="77">
        <v>20496</v>
      </c>
    </row>
    <row r="44" spans="1:3" x14ac:dyDescent="0.25">
      <c r="A44" s="6">
        <v>2000307</v>
      </c>
      <c r="B44" s="6" t="s">
        <v>352</v>
      </c>
      <c r="C44" s="77">
        <v>35496</v>
      </c>
    </row>
    <row r="45" spans="1:3" x14ac:dyDescent="0.25">
      <c r="A45" s="6">
        <v>2000332</v>
      </c>
      <c r="B45" s="6" t="s">
        <v>353</v>
      </c>
      <c r="C45" s="77">
        <v>2091</v>
      </c>
    </row>
    <row r="46" spans="1:3" x14ac:dyDescent="0.25">
      <c r="A46" s="6">
        <v>2000357</v>
      </c>
      <c r="B46" s="6" t="s">
        <v>354</v>
      </c>
      <c r="C46" s="77">
        <v>165474</v>
      </c>
    </row>
    <row r="47" spans="1:3" x14ac:dyDescent="0.25">
      <c r="A47" s="6">
        <v>2000358</v>
      </c>
      <c r="B47" s="6" t="s">
        <v>355</v>
      </c>
      <c r="C47" s="77">
        <v>159101</v>
      </c>
    </row>
    <row r="48" spans="1:3" x14ac:dyDescent="0.25">
      <c r="A48" s="6">
        <v>2000359</v>
      </c>
      <c r="B48" s="6" t="s">
        <v>356</v>
      </c>
      <c r="C48" s="77">
        <v>208397</v>
      </c>
    </row>
    <row r="49" spans="1:3" x14ac:dyDescent="0.25">
      <c r="A49" s="6">
        <v>2000360</v>
      </c>
      <c r="B49" s="6" t="s">
        <v>357</v>
      </c>
      <c r="C49" s="77">
        <v>21889</v>
      </c>
    </row>
    <row r="50" spans="1:3" x14ac:dyDescent="0.25">
      <c r="A50" s="6">
        <v>2000361</v>
      </c>
      <c r="B50" s="6" t="s">
        <v>358</v>
      </c>
      <c r="C50" s="77">
        <v>40792</v>
      </c>
    </row>
    <row r="51" spans="1:3" x14ac:dyDescent="0.25">
      <c r="A51" s="6">
        <v>2000362</v>
      </c>
      <c r="B51" s="6" t="s">
        <v>359</v>
      </c>
      <c r="C51" s="77">
        <v>45347</v>
      </c>
    </row>
    <row r="52" spans="1:3" x14ac:dyDescent="0.25">
      <c r="A52" s="6">
        <v>2000363</v>
      </c>
      <c r="B52" s="6" t="s">
        <v>360</v>
      </c>
      <c r="C52" s="77">
        <v>49308</v>
      </c>
    </row>
    <row r="53" spans="1:3" x14ac:dyDescent="0.25">
      <c r="A53" s="6">
        <v>2000364</v>
      </c>
      <c r="B53" s="6" t="s">
        <v>361</v>
      </c>
      <c r="C53" s="77">
        <v>76751</v>
      </c>
    </row>
    <row r="54" spans="1:3" x14ac:dyDescent="0.25">
      <c r="A54" s="6">
        <v>2000366</v>
      </c>
      <c r="B54" s="6" t="s">
        <v>362</v>
      </c>
      <c r="C54" s="77">
        <v>102603</v>
      </c>
    </row>
    <row r="55" spans="1:3" x14ac:dyDescent="0.25">
      <c r="A55" s="6">
        <v>2000386</v>
      </c>
      <c r="B55" s="6" t="s">
        <v>363</v>
      </c>
      <c r="C55" s="77">
        <v>30894</v>
      </c>
    </row>
    <row r="56" spans="1:3" x14ac:dyDescent="0.25">
      <c r="A56" s="6">
        <v>2000390</v>
      </c>
      <c r="B56" s="6" t="s">
        <v>364</v>
      </c>
      <c r="C56" s="77">
        <v>14582</v>
      </c>
    </row>
    <row r="57" spans="1:3" x14ac:dyDescent="0.25">
      <c r="A57" s="6">
        <v>2000391</v>
      </c>
      <c r="B57" s="6" t="s">
        <v>365</v>
      </c>
      <c r="C57" s="77">
        <v>59928</v>
      </c>
    </row>
    <row r="58" spans="1:3" x14ac:dyDescent="0.25">
      <c r="A58" s="6">
        <v>2000392</v>
      </c>
      <c r="B58" s="6" t="s">
        <v>366</v>
      </c>
      <c r="C58" s="77">
        <v>83150</v>
      </c>
    </row>
    <row r="59" spans="1:3" x14ac:dyDescent="0.25">
      <c r="A59" s="6">
        <v>2000393</v>
      </c>
      <c r="B59" s="6" t="s">
        <v>367</v>
      </c>
      <c r="C59" s="77">
        <v>89302</v>
      </c>
    </row>
    <row r="60" spans="1:3" x14ac:dyDescent="0.25">
      <c r="A60" s="6">
        <v>2000394</v>
      </c>
      <c r="B60" s="6" t="s">
        <v>368</v>
      </c>
      <c r="C60" s="77">
        <v>168449</v>
      </c>
    </row>
    <row r="61" spans="1:3" x14ac:dyDescent="0.25">
      <c r="A61" s="6">
        <v>2000395</v>
      </c>
      <c r="B61" s="6" t="s">
        <v>369</v>
      </c>
      <c r="C61" s="77">
        <v>168449</v>
      </c>
    </row>
    <row r="62" spans="1:3" x14ac:dyDescent="0.25">
      <c r="A62" s="6">
        <v>2000396</v>
      </c>
      <c r="B62" s="6" t="s">
        <v>370</v>
      </c>
      <c r="C62" s="77">
        <v>173578</v>
      </c>
    </row>
    <row r="63" spans="1:3" x14ac:dyDescent="0.25">
      <c r="A63" s="6">
        <v>2000397</v>
      </c>
      <c r="B63" s="6" t="s">
        <v>371</v>
      </c>
      <c r="C63" s="77">
        <v>175505</v>
      </c>
    </row>
    <row r="64" spans="1:3" x14ac:dyDescent="0.25">
      <c r="A64" s="6">
        <v>2000399</v>
      </c>
      <c r="B64" s="6" t="s">
        <v>372</v>
      </c>
      <c r="C64" s="77">
        <v>191503</v>
      </c>
    </row>
    <row r="65" spans="1:3" x14ac:dyDescent="0.25">
      <c r="A65" s="6">
        <v>2000400</v>
      </c>
      <c r="B65" s="6" t="s">
        <v>373</v>
      </c>
      <c r="C65" s="77">
        <v>17848</v>
      </c>
    </row>
    <row r="66" spans="1:3" x14ac:dyDescent="0.25">
      <c r="A66" s="6">
        <v>2000401</v>
      </c>
      <c r="B66" s="6" t="s">
        <v>374</v>
      </c>
      <c r="C66" s="77">
        <v>16740</v>
      </c>
    </row>
    <row r="67" spans="1:3" x14ac:dyDescent="0.25">
      <c r="A67" s="6">
        <v>2000402</v>
      </c>
      <c r="B67" s="6" t="s">
        <v>375</v>
      </c>
      <c r="C67" s="77">
        <v>16726</v>
      </c>
    </row>
    <row r="68" spans="1:3" x14ac:dyDescent="0.25">
      <c r="A68" s="6">
        <v>2000413</v>
      </c>
      <c r="B68" s="6" t="s">
        <v>376</v>
      </c>
      <c r="C68" s="77">
        <v>256882</v>
      </c>
    </row>
    <row r="69" spans="1:3" x14ac:dyDescent="0.25">
      <c r="A69" s="6">
        <v>2000418</v>
      </c>
      <c r="B69" s="6" t="s">
        <v>377</v>
      </c>
      <c r="C69" s="77">
        <v>194985</v>
      </c>
    </row>
    <row r="70" spans="1:3" x14ac:dyDescent="0.25">
      <c r="A70" s="6">
        <v>2000541</v>
      </c>
      <c r="B70" s="6" t="s">
        <v>378</v>
      </c>
      <c r="C70" s="77">
        <v>267818</v>
      </c>
    </row>
    <row r="71" spans="1:3" x14ac:dyDescent="0.25">
      <c r="A71" s="6">
        <v>2000542</v>
      </c>
      <c r="B71" s="6" t="s">
        <v>379</v>
      </c>
      <c r="C71" s="77">
        <v>312755</v>
      </c>
    </row>
    <row r="72" spans="1:3" x14ac:dyDescent="0.25">
      <c r="A72" s="6">
        <v>2000543</v>
      </c>
      <c r="B72" s="6" t="s">
        <v>380</v>
      </c>
      <c r="C72" s="77">
        <v>40857</v>
      </c>
    </row>
    <row r="73" spans="1:3" x14ac:dyDescent="0.25">
      <c r="A73" s="6">
        <v>2000544</v>
      </c>
      <c r="B73" s="6" t="s">
        <v>381</v>
      </c>
      <c r="C73" s="77">
        <v>80730</v>
      </c>
    </row>
    <row r="74" spans="1:3" x14ac:dyDescent="0.25">
      <c r="A74" s="6">
        <v>2000545</v>
      </c>
      <c r="B74" s="6" t="s">
        <v>382</v>
      </c>
      <c r="C74" s="77">
        <v>113837</v>
      </c>
    </row>
    <row r="75" spans="1:3" x14ac:dyDescent="0.25">
      <c r="A75" s="6">
        <v>2000546</v>
      </c>
      <c r="B75" s="6" t="s">
        <v>383</v>
      </c>
      <c r="C75" s="77">
        <v>127431</v>
      </c>
    </row>
    <row r="76" spans="1:3" x14ac:dyDescent="0.25">
      <c r="A76" s="6">
        <v>2000547</v>
      </c>
      <c r="B76" s="6" t="s">
        <v>384</v>
      </c>
      <c r="C76" s="77">
        <v>193143</v>
      </c>
    </row>
    <row r="77" spans="1:3" x14ac:dyDescent="0.25">
      <c r="A77" s="6">
        <v>2000600</v>
      </c>
      <c r="B77" s="6" t="s">
        <v>385</v>
      </c>
      <c r="C77" s="77">
        <v>23252</v>
      </c>
    </row>
    <row r="78" spans="1:3" x14ac:dyDescent="0.25">
      <c r="A78" s="6">
        <v>2000626</v>
      </c>
      <c r="B78" s="6" t="s">
        <v>386</v>
      </c>
      <c r="C78" s="77">
        <v>335552</v>
      </c>
    </row>
    <row r="79" spans="1:3" x14ac:dyDescent="0.25">
      <c r="A79" s="6">
        <v>2000627</v>
      </c>
      <c r="B79" s="6" t="s">
        <v>387</v>
      </c>
      <c r="C79" s="77">
        <v>454396</v>
      </c>
    </row>
    <row r="80" spans="1:3" x14ac:dyDescent="0.25">
      <c r="A80" s="6">
        <v>2000628</v>
      </c>
      <c r="B80" s="6" t="s">
        <v>388</v>
      </c>
      <c r="C80" s="77">
        <v>604344</v>
      </c>
    </row>
    <row r="81" spans="1:3" x14ac:dyDescent="0.25">
      <c r="A81" s="6">
        <v>2000734</v>
      </c>
      <c r="B81" s="6" t="s">
        <v>389</v>
      </c>
      <c r="C81" s="77">
        <v>378916</v>
      </c>
    </row>
    <row r="82" spans="1:3" x14ac:dyDescent="0.25">
      <c r="A82" s="6">
        <v>2000751</v>
      </c>
      <c r="B82" s="6" t="s">
        <v>390</v>
      </c>
      <c r="C82" s="77">
        <v>426936</v>
      </c>
    </row>
    <row r="83" spans="1:3" x14ac:dyDescent="0.25">
      <c r="A83" s="6">
        <v>2000845</v>
      </c>
      <c r="B83" s="6" t="s">
        <v>391</v>
      </c>
      <c r="C83" s="77">
        <v>106180</v>
      </c>
    </row>
    <row r="84" spans="1:3" x14ac:dyDescent="0.25">
      <c r="A84" s="6">
        <v>2000850</v>
      </c>
      <c r="B84" s="6" t="s">
        <v>392</v>
      </c>
      <c r="C84" s="77">
        <v>208397</v>
      </c>
    </row>
    <row r="85" spans="1:3" x14ac:dyDescent="0.25">
      <c r="A85" s="6">
        <v>2001053</v>
      </c>
      <c r="B85" s="6" t="s">
        <v>393</v>
      </c>
      <c r="C85" s="77">
        <v>341653</v>
      </c>
    </row>
    <row r="86" spans="1:3" x14ac:dyDescent="0.25">
      <c r="A86" s="6">
        <v>2001178</v>
      </c>
      <c r="B86" s="6" t="s">
        <v>394</v>
      </c>
      <c r="C86" s="77">
        <v>423875</v>
      </c>
    </row>
    <row r="87" spans="1:3" x14ac:dyDescent="0.25">
      <c r="A87" s="6">
        <v>2001268</v>
      </c>
      <c r="B87" s="6" t="s">
        <v>395</v>
      </c>
      <c r="C87" s="77">
        <v>28284</v>
      </c>
    </row>
    <row r="88" spans="1:3" x14ac:dyDescent="0.25">
      <c r="A88" s="6">
        <v>2001269</v>
      </c>
      <c r="B88" s="6" t="s">
        <v>396</v>
      </c>
      <c r="C88" s="77">
        <v>41601</v>
      </c>
    </row>
    <row r="89" spans="1:3" x14ac:dyDescent="0.25">
      <c r="A89" s="6">
        <v>2001270</v>
      </c>
      <c r="B89" s="6" t="s">
        <v>397</v>
      </c>
      <c r="C89" s="77">
        <v>82199</v>
      </c>
    </row>
    <row r="90" spans="1:3" x14ac:dyDescent="0.25">
      <c r="A90" s="6">
        <v>2001271</v>
      </c>
      <c r="B90" s="6" t="s">
        <v>398</v>
      </c>
      <c r="C90" s="77">
        <v>113837</v>
      </c>
    </row>
    <row r="91" spans="1:3" x14ac:dyDescent="0.25">
      <c r="A91" s="6">
        <v>2001272</v>
      </c>
      <c r="B91" s="6" t="s">
        <v>399</v>
      </c>
      <c r="C91" s="77">
        <v>129749</v>
      </c>
    </row>
    <row r="92" spans="1:3" x14ac:dyDescent="0.25">
      <c r="A92" s="6">
        <v>2001273</v>
      </c>
      <c r="B92" s="6" t="s">
        <v>400</v>
      </c>
      <c r="C92" s="77">
        <v>193143</v>
      </c>
    </row>
    <row r="93" spans="1:3" x14ac:dyDescent="0.25">
      <c r="A93" s="6">
        <v>2001334</v>
      </c>
      <c r="B93" s="6" t="s">
        <v>401</v>
      </c>
      <c r="C93" s="77">
        <v>342508</v>
      </c>
    </row>
    <row r="94" spans="1:3" x14ac:dyDescent="0.25">
      <c r="A94" s="6">
        <v>2001531</v>
      </c>
      <c r="B94" s="6" t="s">
        <v>402</v>
      </c>
      <c r="C94" s="77">
        <v>3806</v>
      </c>
    </row>
    <row r="95" spans="1:3" x14ac:dyDescent="0.25">
      <c r="A95" s="6">
        <v>2001532</v>
      </c>
      <c r="B95" s="6" t="s">
        <v>403</v>
      </c>
      <c r="C95" s="77">
        <v>7605</v>
      </c>
    </row>
    <row r="96" spans="1:3" x14ac:dyDescent="0.25">
      <c r="A96" s="6">
        <v>2001694</v>
      </c>
      <c r="B96" s="6" t="s">
        <v>2778</v>
      </c>
      <c r="C96" s="77">
        <v>620</v>
      </c>
    </row>
    <row r="97" spans="1:3" x14ac:dyDescent="0.25">
      <c r="A97" s="6">
        <v>2001742</v>
      </c>
      <c r="B97" s="6" t="s">
        <v>2779</v>
      </c>
      <c r="C97" s="77">
        <v>164278</v>
      </c>
    </row>
    <row r="98" spans="1:3" x14ac:dyDescent="0.25">
      <c r="A98" s="6">
        <v>2001743</v>
      </c>
      <c r="B98" s="6" t="s">
        <v>2780</v>
      </c>
      <c r="C98" s="77">
        <v>203700</v>
      </c>
    </row>
    <row r="99" spans="1:3" x14ac:dyDescent="0.25">
      <c r="A99" s="6">
        <v>2001744</v>
      </c>
      <c r="B99" s="6" t="s">
        <v>2781</v>
      </c>
      <c r="C99" s="77">
        <v>251578</v>
      </c>
    </row>
    <row r="100" spans="1:3" x14ac:dyDescent="0.25">
      <c r="A100" s="6">
        <v>2001784</v>
      </c>
      <c r="B100" s="6" t="s">
        <v>2782</v>
      </c>
      <c r="C100" s="77">
        <v>1395</v>
      </c>
    </row>
    <row r="101" spans="1:3" x14ac:dyDescent="0.25">
      <c r="A101" s="6">
        <v>2080410</v>
      </c>
      <c r="B101" s="6" t="s">
        <v>404</v>
      </c>
      <c r="C101" s="77">
        <v>1257</v>
      </c>
    </row>
    <row r="102" spans="1:3" x14ac:dyDescent="0.25">
      <c r="A102" s="6">
        <v>2080411</v>
      </c>
      <c r="B102" s="6" t="s">
        <v>2783</v>
      </c>
      <c r="C102" s="77">
        <v>1243</v>
      </c>
    </row>
    <row r="103" spans="1:3" x14ac:dyDescent="0.25">
      <c r="A103" s="6">
        <v>2900010</v>
      </c>
      <c r="B103" s="6" t="s">
        <v>405</v>
      </c>
      <c r="C103" s="77">
        <v>81894</v>
      </c>
    </row>
    <row r="104" spans="1:3" x14ac:dyDescent="0.25">
      <c r="A104" s="6">
        <v>2900012</v>
      </c>
      <c r="B104" s="6" t="s">
        <v>406</v>
      </c>
      <c r="C104" s="77">
        <v>67948</v>
      </c>
    </row>
    <row r="105" spans="1:3" x14ac:dyDescent="0.25">
      <c r="A105" s="6">
        <v>2900014</v>
      </c>
      <c r="B105" s="6" t="s">
        <v>407</v>
      </c>
      <c r="C105" s="77">
        <v>55926</v>
      </c>
    </row>
    <row r="106" spans="1:3" x14ac:dyDescent="0.25">
      <c r="A106" s="6">
        <v>2900016</v>
      </c>
      <c r="B106" s="6" t="s">
        <v>408</v>
      </c>
      <c r="C106" s="77">
        <v>47407</v>
      </c>
    </row>
    <row r="107" spans="1:3" x14ac:dyDescent="0.25">
      <c r="A107" s="6">
        <v>2900018</v>
      </c>
      <c r="B107" s="6" t="s">
        <v>409</v>
      </c>
      <c r="C107" s="77">
        <v>138611</v>
      </c>
    </row>
    <row r="108" spans="1:3" x14ac:dyDescent="0.25">
      <c r="A108" s="6">
        <v>2900020</v>
      </c>
      <c r="B108" s="6" t="s">
        <v>410</v>
      </c>
      <c r="C108" s="77">
        <v>115760</v>
      </c>
    </row>
    <row r="109" spans="1:3" x14ac:dyDescent="0.25">
      <c r="A109" s="6">
        <v>2900022</v>
      </c>
      <c r="B109" s="6" t="s">
        <v>411</v>
      </c>
      <c r="C109" s="77">
        <v>205000</v>
      </c>
    </row>
    <row r="110" spans="1:3" x14ac:dyDescent="0.25">
      <c r="A110" s="6">
        <v>2900024</v>
      </c>
      <c r="B110" s="6" t="s">
        <v>412</v>
      </c>
      <c r="C110" s="77">
        <v>170000</v>
      </c>
    </row>
    <row r="111" spans="1:3" x14ac:dyDescent="0.25">
      <c r="A111" s="6">
        <v>2900026</v>
      </c>
      <c r="B111" s="6" t="s">
        <v>413</v>
      </c>
      <c r="C111" s="77">
        <v>137000</v>
      </c>
    </row>
    <row r="112" spans="1:3" x14ac:dyDescent="0.25">
      <c r="A112" s="6">
        <v>2900028</v>
      </c>
      <c r="B112" s="6" t="s">
        <v>414</v>
      </c>
      <c r="C112" s="77">
        <v>94392</v>
      </c>
    </row>
    <row r="113" spans="1:3" x14ac:dyDescent="0.25">
      <c r="A113" s="6">
        <v>2900030</v>
      </c>
      <c r="B113" s="6" t="s">
        <v>415</v>
      </c>
      <c r="C113" s="77">
        <v>78098</v>
      </c>
    </row>
    <row r="114" spans="1:3" x14ac:dyDescent="0.25">
      <c r="A114" s="6">
        <v>2900032</v>
      </c>
      <c r="B114" s="6" t="s">
        <v>416</v>
      </c>
      <c r="C114" s="77">
        <v>461772</v>
      </c>
    </row>
    <row r="115" spans="1:3" x14ac:dyDescent="0.25">
      <c r="A115" s="6">
        <v>2900033</v>
      </c>
      <c r="B115" s="6" t="s">
        <v>417</v>
      </c>
      <c r="C115" s="77">
        <v>270773</v>
      </c>
    </row>
    <row r="116" spans="1:3" x14ac:dyDescent="0.25">
      <c r="A116" s="6">
        <v>2900035</v>
      </c>
      <c r="B116" s="6" t="s">
        <v>418</v>
      </c>
      <c r="C116" s="77">
        <v>228000</v>
      </c>
    </row>
    <row r="117" spans="1:3" x14ac:dyDescent="0.25">
      <c r="A117" s="6">
        <v>2900037</v>
      </c>
      <c r="B117" s="6" t="s">
        <v>419</v>
      </c>
      <c r="C117" s="77">
        <v>182000</v>
      </c>
    </row>
    <row r="118" spans="1:3" x14ac:dyDescent="0.25">
      <c r="A118" s="6">
        <v>2900039</v>
      </c>
      <c r="B118" s="6" t="s">
        <v>420</v>
      </c>
      <c r="C118" s="77">
        <v>141347</v>
      </c>
    </row>
    <row r="119" spans="1:3" x14ac:dyDescent="0.25">
      <c r="A119" s="6">
        <v>2900041</v>
      </c>
      <c r="B119" s="6" t="s">
        <v>421</v>
      </c>
      <c r="C119" s="77">
        <v>113537</v>
      </c>
    </row>
    <row r="120" spans="1:3" x14ac:dyDescent="0.25">
      <c r="A120" s="6">
        <v>2900043</v>
      </c>
      <c r="B120" s="6" t="s">
        <v>422</v>
      </c>
      <c r="C120" s="77">
        <v>556302</v>
      </c>
    </row>
    <row r="121" spans="1:3" x14ac:dyDescent="0.25">
      <c r="A121" s="6">
        <v>2900045</v>
      </c>
      <c r="B121" s="6" t="s">
        <v>423</v>
      </c>
      <c r="C121" s="77">
        <v>455636</v>
      </c>
    </row>
    <row r="122" spans="1:3" x14ac:dyDescent="0.25">
      <c r="A122" s="6">
        <v>2900047</v>
      </c>
      <c r="B122" s="6" t="s">
        <v>424</v>
      </c>
      <c r="C122" s="77">
        <v>371746</v>
      </c>
    </row>
    <row r="123" spans="1:3" x14ac:dyDescent="0.25">
      <c r="A123" s="6">
        <v>2900049</v>
      </c>
      <c r="B123" s="6" t="s">
        <v>425</v>
      </c>
      <c r="C123" s="77">
        <v>299648</v>
      </c>
    </row>
    <row r="124" spans="1:3" x14ac:dyDescent="0.25">
      <c r="A124" s="6">
        <v>2900051</v>
      </c>
      <c r="B124" s="6" t="s">
        <v>426</v>
      </c>
      <c r="C124" s="77">
        <v>243391</v>
      </c>
    </row>
    <row r="125" spans="1:3" x14ac:dyDescent="0.25">
      <c r="A125" s="6">
        <v>2900053</v>
      </c>
      <c r="B125" s="6" t="s">
        <v>427</v>
      </c>
      <c r="C125" s="77">
        <v>1893040</v>
      </c>
    </row>
    <row r="126" spans="1:3" x14ac:dyDescent="0.25">
      <c r="A126" s="6">
        <v>2900054</v>
      </c>
      <c r="B126" s="6" t="s">
        <v>428</v>
      </c>
      <c r="C126" s="77">
        <v>942309</v>
      </c>
    </row>
    <row r="127" spans="1:3" x14ac:dyDescent="0.25">
      <c r="A127" s="6">
        <v>2900056</v>
      </c>
      <c r="B127" s="6" t="s">
        <v>2784</v>
      </c>
      <c r="C127" s="77">
        <v>775133</v>
      </c>
    </row>
    <row r="128" spans="1:3" x14ac:dyDescent="0.25">
      <c r="A128" s="6">
        <v>2900058</v>
      </c>
      <c r="B128" s="6" t="s">
        <v>429</v>
      </c>
      <c r="C128" s="77">
        <v>632550</v>
      </c>
    </row>
    <row r="129" spans="1:3" x14ac:dyDescent="0.25">
      <c r="A129" s="6">
        <v>2900060</v>
      </c>
      <c r="B129" s="6" t="s">
        <v>430</v>
      </c>
      <c r="C129" s="77">
        <v>506121</v>
      </c>
    </row>
    <row r="130" spans="1:3" x14ac:dyDescent="0.25">
      <c r="A130" s="6">
        <v>2900062</v>
      </c>
      <c r="B130" s="6" t="s">
        <v>431</v>
      </c>
      <c r="C130" s="77">
        <v>419315</v>
      </c>
    </row>
    <row r="131" spans="1:3" x14ac:dyDescent="0.25">
      <c r="A131" s="6">
        <v>2900081</v>
      </c>
      <c r="B131" s="6" t="s">
        <v>432</v>
      </c>
      <c r="C131" s="77">
        <v>449165</v>
      </c>
    </row>
    <row r="132" spans="1:3" x14ac:dyDescent="0.25">
      <c r="A132" s="6">
        <v>2900083</v>
      </c>
      <c r="B132" s="6" t="s">
        <v>433</v>
      </c>
      <c r="C132" s="77">
        <v>646321</v>
      </c>
    </row>
    <row r="133" spans="1:3" x14ac:dyDescent="0.25">
      <c r="A133" s="6">
        <v>2900085</v>
      </c>
      <c r="B133" s="6" t="s">
        <v>434</v>
      </c>
      <c r="C133" s="77">
        <v>1184700</v>
      </c>
    </row>
    <row r="134" spans="1:3" x14ac:dyDescent="0.25">
      <c r="A134" s="6">
        <v>2900087</v>
      </c>
      <c r="B134" s="6" t="s">
        <v>435</v>
      </c>
      <c r="C134" s="77">
        <v>1530040</v>
      </c>
    </row>
    <row r="135" spans="1:3" x14ac:dyDescent="0.25">
      <c r="A135" s="6">
        <v>2900089</v>
      </c>
      <c r="B135" s="6" t="s">
        <v>436</v>
      </c>
      <c r="C135" s="77">
        <v>1994720</v>
      </c>
    </row>
    <row r="136" spans="1:3" x14ac:dyDescent="0.25">
      <c r="A136" s="6">
        <v>2900090</v>
      </c>
      <c r="B136" s="6" t="s">
        <v>437</v>
      </c>
      <c r="C136" s="77">
        <v>111175</v>
      </c>
    </row>
    <row r="137" spans="1:3" x14ac:dyDescent="0.25">
      <c r="A137" s="6">
        <v>2900092</v>
      </c>
      <c r="B137" s="6" t="s">
        <v>438</v>
      </c>
      <c r="C137" s="77">
        <v>215132</v>
      </c>
    </row>
    <row r="138" spans="1:3" x14ac:dyDescent="0.25">
      <c r="A138" s="6">
        <v>2900094</v>
      </c>
      <c r="B138" s="6" t="s">
        <v>439</v>
      </c>
      <c r="C138" s="77">
        <v>307532</v>
      </c>
    </row>
    <row r="139" spans="1:3" x14ac:dyDescent="0.25">
      <c r="A139" s="6">
        <v>2900096</v>
      </c>
      <c r="B139" s="6" t="s">
        <v>440</v>
      </c>
      <c r="C139" s="77">
        <v>449165</v>
      </c>
    </row>
    <row r="140" spans="1:3" x14ac:dyDescent="0.25">
      <c r="A140" s="6">
        <v>2900100</v>
      </c>
      <c r="B140" s="6" t="s">
        <v>441</v>
      </c>
      <c r="C140" s="77">
        <v>215132</v>
      </c>
    </row>
    <row r="141" spans="1:3" x14ac:dyDescent="0.25">
      <c r="A141" s="6">
        <v>2900102</v>
      </c>
      <c r="B141" s="6" t="s">
        <v>442</v>
      </c>
      <c r="C141" s="77">
        <v>307532</v>
      </c>
    </row>
    <row r="142" spans="1:3" x14ac:dyDescent="0.25">
      <c r="A142" s="6">
        <v>2900103</v>
      </c>
      <c r="B142" s="6" t="s">
        <v>443</v>
      </c>
      <c r="C142" s="77">
        <v>84839</v>
      </c>
    </row>
    <row r="143" spans="1:3" x14ac:dyDescent="0.25">
      <c r="A143" s="6">
        <v>2900105</v>
      </c>
      <c r="B143" s="6" t="s">
        <v>444</v>
      </c>
      <c r="C143" s="77">
        <v>1483386</v>
      </c>
    </row>
    <row r="144" spans="1:3" x14ac:dyDescent="0.25">
      <c r="A144" s="6">
        <v>2900106</v>
      </c>
      <c r="B144" s="6" t="s">
        <v>445</v>
      </c>
      <c r="C144" s="77">
        <v>1206510</v>
      </c>
    </row>
    <row r="145" spans="1:3" x14ac:dyDescent="0.25">
      <c r="A145" s="6">
        <v>2900107</v>
      </c>
      <c r="B145" s="6" t="s">
        <v>446</v>
      </c>
      <c r="C145" s="77">
        <v>2075542</v>
      </c>
    </row>
    <row r="146" spans="1:3" x14ac:dyDescent="0.25">
      <c r="A146" s="6">
        <v>2900108</v>
      </c>
      <c r="B146" s="6" t="s">
        <v>447</v>
      </c>
      <c r="C146" s="77">
        <v>1700765</v>
      </c>
    </row>
    <row r="147" spans="1:3" x14ac:dyDescent="0.25">
      <c r="A147" s="6">
        <v>2900109</v>
      </c>
      <c r="B147" s="6" t="s">
        <v>448</v>
      </c>
      <c r="C147" s="77">
        <v>270773</v>
      </c>
    </row>
    <row r="148" spans="1:3" x14ac:dyDescent="0.25">
      <c r="A148" s="6">
        <v>2900110</v>
      </c>
      <c r="B148" s="6" t="s">
        <v>449</v>
      </c>
      <c r="C148" s="77">
        <v>228000</v>
      </c>
    </row>
    <row r="149" spans="1:3" x14ac:dyDescent="0.25">
      <c r="A149" s="6">
        <v>2900111</v>
      </c>
      <c r="B149" s="6" t="s">
        <v>450</v>
      </c>
      <c r="C149" s="77">
        <v>556302</v>
      </c>
    </row>
    <row r="150" spans="1:3" x14ac:dyDescent="0.25">
      <c r="A150" s="6">
        <v>2900112</v>
      </c>
      <c r="B150" s="6" t="s">
        <v>451</v>
      </c>
      <c r="C150" s="77">
        <v>455636</v>
      </c>
    </row>
    <row r="151" spans="1:3" x14ac:dyDescent="0.25">
      <c r="A151" s="6">
        <v>2900113</v>
      </c>
      <c r="B151" s="6" t="s">
        <v>452</v>
      </c>
      <c r="C151" s="77">
        <v>942309</v>
      </c>
    </row>
    <row r="152" spans="1:3" x14ac:dyDescent="0.25">
      <c r="A152" s="6">
        <v>2900114</v>
      </c>
      <c r="B152" s="6" t="s">
        <v>453</v>
      </c>
      <c r="C152" s="77">
        <v>775133</v>
      </c>
    </row>
    <row r="153" spans="1:3" x14ac:dyDescent="0.25">
      <c r="A153" s="6">
        <v>2900115</v>
      </c>
      <c r="B153" s="6" t="s">
        <v>454</v>
      </c>
      <c r="C153" s="77">
        <v>104876</v>
      </c>
    </row>
    <row r="154" spans="1:3" x14ac:dyDescent="0.25">
      <c r="A154" s="6">
        <v>2900117</v>
      </c>
      <c r="B154" s="6" t="s">
        <v>455</v>
      </c>
      <c r="C154" s="77">
        <v>59772</v>
      </c>
    </row>
    <row r="155" spans="1:3" x14ac:dyDescent="0.25">
      <c r="A155" s="6">
        <v>2900119</v>
      </c>
      <c r="B155" s="6" t="s">
        <v>456</v>
      </c>
      <c r="C155" s="77">
        <v>2099</v>
      </c>
    </row>
    <row r="156" spans="1:3" x14ac:dyDescent="0.25">
      <c r="A156" s="6">
        <v>2900121</v>
      </c>
      <c r="B156" s="6" t="s">
        <v>457</v>
      </c>
      <c r="C156" s="77">
        <v>3647</v>
      </c>
    </row>
    <row r="157" spans="1:3" x14ac:dyDescent="0.25">
      <c r="A157" s="6">
        <v>2900125</v>
      </c>
      <c r="B157" s="6" t="s">
        <v>458</v>
      </c>
      <c r="C157" s="77">
        <v>11402</v>
      </c>
    </row>
    <row r="158" spans="1:3" x14ac:dyDescent="0.25">
      <c r="A158" s="6">
        <v>2900128</v>
      </c>
      <c r="B158" s="6" t="s">
        <v>459</v>
      </c>
      <c r="C158" s="77">
        <v>22456</v>
      </c>
    </row>
    <row r="159" spans="1:3" x14ac:dyDescent="0.25">
      <c r="A159" s="6">
        <v>2900130</v>
      </c>
      <c r="B159" s="6" t="s">
        <v>460</v>
      </c>
      <c r="C159" s="77">
        <v>17615</v>
      </c>
    </row>
    <row r="160" spans="1:3" x14ac:dyDescent="0.25">
      <c r="A160" s="6">
        <v>2900133</v>
      </c>
      <c r="B160" s="6" t="s">
        <v>461</v>
      </c>
      <c r="C160" s="77">
        <v>6281</v>
      </c>
    </row>
    <row r="161" spans="1:3" x14ac:dyDescent="0.25">
      <c r="A161" s="6">
        <v>2900135</v>
      </c>
      <c r="B161" s="6" t="s">
        <v>462</v>
      </c>
      <c r="C161" s="77">
        <v>34540</v>
      </c>
    </row>
    <row r="162" spans="1:3" x14ac:dyDescent="0.25">
      <c r="A162" s="6">
        <v>2900138</v>
      </c>
      <c r="B162" s="6" t="s">
        <v>463</v>
      </c>
      <c r="C162" s="77">
        <v>8227</v>
      </c>
    </row>
    <row r="163" spans="1:3" x14ac:dyDescent="0.25">
      <c r="A163" s="6">
        <v>2900143</v>
      </c>
      <c r="B163" s="6" t="s">
        <v>464</v>
      </c>
      <c r="C163" s="77">
        <v>10246</v>
      </c>
    </row>
    <row r="164" spans="1:3" x14ac:dyDescent="0.25">
      <c r="A164" s="6">
        <v>2900144</v>
      </c>
      <c r="B164" s="6" t="s">
        <v>465</v>
      </c>
      <c r="C164" s="77">
        <v>14033</v>
      </c>
    </row>
    <row r="165" spans="1:3" x14ac:dyDescent="0.25">
      <c r="A165" s="6">
        <v>2900145</v>
      </c>
      <c r="B165" s="6" t="s">
        <v>466</v>
      </c>
      <c r="C165" s="77">
        <v>54175</v>
      </c>
    </row>
    <row r="166" spans="1:3" x14ac:dyDescent="0.25">
      <c r="A166" s="6">
        <v>2900146</v>
      </c>
      <c r="B166" s="6" t="s">
        <v>467</v>
      </c>
      <c r="C166" s="77">
        <v>18101</v>
      </c>
    </row>
    <row r="167" spans="1:3" x14ac:dyDescent="0.25">
      <c r="A167" s="6">
        <v>2900147</v>
      </c>
      <c r="B167" s="6" t="s">
        <v>468</v>
      </c>
      <c r="C167" s="77">
        <v>24397</v>
      </c>
    </row>
    <row r="168" spans="1:3" x14ac:dyDescent="0.25">
      <c r="A168" s="6">
        <v>2900148</v>
      </c>
      <c r="B168" s="6" t="s">
        <v>469</v>
      </c>
      <c r="C168" s="77">
        <v>93307</v>
      </c>
    </row>
    <row r="169" spans="1:3" x14ac:dyDescent="0.25">
      <c r="A169" s="6">
        <v>2900149</v>
      </c>
      <c r="B169" s="6" t="s">
        <v>470</v>
      </c>
      <c r="C169" s="77">
        <v>229582</v>
      </c>
    </row>
    <row r="170" spans="1:3" x14ac:dyDescent="0.25">
      <c r="A170" s="6">
        <v>2900150</v>
      </c>
      <c r="B170" s="6" t="s">
        <v>471</v>
      </c>
      <c r="C170" s="77">
        <v>40328</v>
      </c>
    </row>
    <row r="171" spans="1:3" x14ac:dyDescent="0.25">
      <c r="A171" s="6">
        <v>2900151</v>
      </c>
      <c r="B171" s="6" t="s">
        <v>472</v>
      </c>
      <c r="C171" s="77">
        <v>55872</v>
      </c>
    </row>
    <row r="172" spans="1:3" x14ac:dyDescent="0.25">
      <c r="A172" s="6">
        <v>2900152</v>
      </c>
      <c r="B172" s="6" t="s">
        <v>473</v>
      </c>
      <c r="C172" s="77">
        <v>56425</v>
      </c>
    </row>
    <row r="173" spans="1:3" x14ac:dyDescent="0.25">
      <c r="A173" s="6">
        <v>2900153</v>
      </c>
      <c r="B173" s="6" t="s">
        <v>474</v>
      </c>
      <c r="C173" s="77">
        <v>75872</v>
      </c>
    </row>
    <row r="174" spans="1:3" x14ac:dyDescent="0.25">
      <c r="A174" s="6">
        <v>2900154</v>
      </c>
      <c r="B174" s="6" t="s">
        <v>475</v>
      </c>
      <c r="C174" s="77">
        <v>302889</v>
      </c>
    </row>
    <row r="175" spans="1:3" x14ac:dyDescent="0.25">
      <c r="A175" s="6">
        <v>2900156</v>
      </c>
      <c r="B175" s="6" t="s">
        <v>476</v>
      </c>
      <c r="C175" s="77">
        <v>22941</v>
      </c>
    </row>
    <row r="176" spans="1:3" x14ac:dyDescent="0.25">
      <c r="A176" s="6">
        <v>2900158</v>
      </c>
      <c r="B176" s="6" t="s">
        <v>477</v>
      </c>
      <c r="C176" s="77">
        <v>45886</v>
      </c>
    </row>
    <row r="177" spans="1:3" x14ac:dyDescent="0.25">
      <c r="A177" s="6">
        <v>2900160</v>
      </c>
      <c r="B177" s="6" t="s">
        <v>478</v>
      </c>
      <c r="C177" s="77">
        <v>50841</v>
      </c>
    </row>
    <row r="178" spans="1:3" x14ac:dyDescent="0.25">
      <c r="A178" s="6">
        <v>2900161</v>
      </c>
      <c r="B178" s="6" t="s">
        <v>479</v>
      </c>
      <c r="C178" s="77">
        <v>101689</v>
      </c>
    </row>
    <row r="179" spans="1:3" x14ac:dyDescent="0.25">
      <c r="A179" s="6">
        <v>2900164</v>
      </c>
      <c r="B179" s="6" t="s">
        <v>480</v>
      </c>
      <c r="C179" s="77">
        <v>171576</v>
      </c>
    </row>
    <row r="180" spans="1:3" x14ac:dyDescent="0.25">
      <c r="A180" s="6">
        <v>2900166</v>
      </c>
      <c r="B180" s="6" t="s">
        <v>481</v>
      </c>
      <c r="C180" s="77">
        <v>357855</v>
      </c>
    </row>
    <row r="181" spans="1:3" x14ac:dyDescent="0.25">
      <c r="A181" s="6">
        <v>2900169</v>
      </c>
      <c r="B181" s="6" t="s">
        <v>482</v>
      </c>
      <c r="C181" s="77">
        <v>70527</v>
      </c>
    </row>
    <row r="182" spans="1:3" x14ac:dyDescent="0.25">
      <c r="A182" s="6">
        <v>2900171</v>
      </c>
      <c r="B182" s="6" t="s">
        <v>483</v>
      </c>
      <c r="C182" s="77">
        <v>121419</v>
      </c>
    </row>
    <row r="183" spans="1:3" x14ac:dyDescent="0.25">
      <c r="A183" s="6">
        <v>2900173</v>
      </c>
      <c r="B183" s="6" t="s">
        <v>484</v>
      </c>
      <c r="C183" s="77">
        <v>258497</v>
      </c>
    </row>
    <row r="184" spans="1:3" x14ac:dyDescent="0.25">
      <c r="A184" s="6">
        <v>2900176</v>
      </c>
      <c r="B184" s="6" t="s">
        <v>485</v>
      </c>
      <c r="C184" s="77">
        <v>94240</v>
      </c>
    </row>
    <row r="185" spans="1:3" x14ac:dyDescent="0.25">
      <c r="A185" s="6">
        <v>2900178</v>
      </c>
      <c r="B185" s="6" t="s">
        <v>486</v>
      </c>
      <c r="C185" s="77">
        <v>116735</v>
      </c>
    </row>
    <row r="186" spans="1:3" x14ac:dyDescent="0.25">
      <c r="A186" s="6">
        <v>2900180</v>
      </c>
      <c r="B186" s="6" t="s">
        <v>487</v>
      </c>
      <c r="C186" s="77">
        <v>263192</v>
      </c>
    </row>
    <row r="187" spans="1:3" x14ac:dyDescent="0.25">
      <c r="A187" s="6">
        <v>2900181</v>
      </c>
      <c r="B187" s="6" t="s">
        <v>488</v>
      </c>
      <c r="C187" s="77">
        <v>6116</v>
      </c>
    </row>
    <row r="188" spans="1:3" x14ac:dyDescent="0.25">
      <c r="A188" s="6">
        <v>2900182</v>
      </c>
      <c r="B188" s="6" t="s">
        <v>489</v>
      </c>
      <c r="C188" s="77">
        <v>9341</v>
      </c>
    </row>
    <row r="189" spans="1:3" x14ac:dyDescent="0.25">
      <c r="A189" s="6">
        <v>2900183</v>
      </c>
      <c r="B189" s="6" t="s">
        <v>490</v>
      </c>
      <c r="C189" s="77">
        <v>213159</v>
      </c>
    </row>
    <row r="190" spans="1:3" x14ac:dyDescent="0.25">
      <c r="A190" s="6">
        <v>2900184</v>
      </c>
      <c r="B190" s="6" t="s">
        <v>491</v>
      </c>
      <c r="C190" s="77">
        <v>4695</v>
      </c>
    </row>
    <row r="191" spans="1:3" x14ac:dyDescent="0.25">
      <c r="A191" s="6">
        <v>2900185</v>
      </c>
      <c r="B191" s="6" t="s">
        <v>492</v>
      </c>
      <c r="C191" s="77">
        <v>7511</v>
      </c>
    </row>
    <row r="192" spans="1:3" x14ac:dyDescent="0.25">
      <c r="A192" s="6">
        <v>2900186</v>
      </c>
      <c r="B192" s="6" t="s">
        <v>493</v>
      </c>
      <c r="C192" s="77">
        <v>2165</v>
      </c>
    </row>
    <row r="193" spans="1:3" x14ac:dyDescent="0.25">
      <c r="A193" s="6">
        <v>2900188</v>
      </c>
      <c r="B193" s="6" t="s">
        <v>494</v>
      </c>
      <c r="C193" s="77">
        <v>2294</v>
      </c>
    </row>
    <row r="194" spans="1:3" x14ac:dyDescent="0.25">
      <c r="A194" s="6">
        <v>2900189</v>
      </c>
      <c r="B194" s="6" t="s">
        <v>495</v>
      </c>
      <c r="C194" s="77">
        <v>585061</v>
      </c>
    </row>
    <row r="195" spans="1:3" x14ac:dyDescent="0.25">
      <c r="A195" s="6">
        <v>2900190</v>
      </c>
      <c r="B195" s="6" t="s">
        <v>2785</v>
      </c>
      <c r="C195" s="77">
        <v>1242135</v>
      </c>
    </row>
    <row r="196" spans="1:3" x14ac:dyDescent="0.25">
      <c r="A196" s="6">
        <v>2900191</v>
      </c>
      <c r="B196" s="6" t="s">
        <v>496</v>
      </c>
      <c r="C196" s="77">
        <v>15353</v>
      </c>
    </row>
    <row r="197" spans="1:3" x14ac:dyDescent="0.25">
      <c r="A197" s="6">
        <v>2900192</v>
      </c>
      <c r="B197" s="6" t="s">
        <v>2786</v>
      </c>
      <c r="C197" s="77">
        <v>2609</v>
      </c>
    </row>
    <row r="198" spans="1:3" x14ac:dyDescent="0.25">
      <c r="A198" s="6">
        <v>2900193</v>
      </c>
      <c r="B198" s="6" t="s">
        <v>497</v>
      </c>
      <c r="C198" s="77">
        <v>333314</v>
      </c>
    </row>
    <row r="199" spans="1:3" x14ac:dyDescent="0.25">
      <c r="A199" s="6">
        <v>2900194</v>
      </c>
      <c r="B199" s="6" t="s">
        <v>498</v>
      </c>
      <c r="C199" s="77">
        <v>2996</v>
      </c>
    </row>
    <row r="200" spans="1:3" x14ac:dyDescent="0.25">
      <c r="A200" s="6">
        <v>2900195</v>
      </c>
      <c r="B200" s="6" t="s">
        <v>2787</v>
      </c>
      <c r="C200" s="77">
        <v>4217</v>
      </c>
    </row>
    <row r="201" spans="1:3" x14ac:dyDescent="0.25">
      <c r="A201" s="6">
        <v>2900196</v>
      </c>
      <c r="B201" s="6" t="s">
        <v>499</v>
      </c>
      <c r="C201" s="77">
        <v>569934</v>
      </c>
    </row>
    <row r="202" spans="1:3" x14ac:dyDescent="0.25">
      <c r="A202" s="6">
        <v>2900197</v>
      </c>
      <c r="B202" s="6" t="s">
        <v>500</v>
      </c>
      <c r="C202" s="77">
        <v>1079457</v>
      </c>
    </row>
    <row r="203" spans="1:3" x14ac:dyDescent="0.25">
      <c r="A203" s="6">
        <v>2900198</v>
      </c>
      <c r="B203" s="6" t="s">
        <v>2788</v>
      </c>
      <c r="C203" s="77">
        <v>19411</v>
      </c>
    </row>
    <row r="204" spans="1:3" x14ac:dyDescent="0.25">
      <c r="A204" s="6">
        <v>2900199</v>
      </c>
      <c r="B204" s="6" t="s">
        <v>501</v>
      </c>
      <c r="C204" s="77">
        <v>394505</v>
      </c>
    </row>
    <row r="205" spans="1:3" x14ac:dyDescent="0.25">
      <c r="A205" s="6">
        <v>2900200</v>
      </c>
      <c r="B205" s="6" t="s">
        <v>502</v>
      </c>
      <c r="C205" s="77">
        <v>3390</v>
      </c>
    </row>
    <row r="206" spans="1:3" x14ac:dyDescent="0.25">
      <c r="A206" s="6">
        <v>2900202</v>
      </c>
      <c r="B206" s="6" t="s">
        <v>503</v>
      </c>
      <c r="C206" s="77">
        <v>2944</v>
      </c>
    </row>
    <row r="207" spans="1:3" x14ac:dyDescent="0.25">
      <c r="A207" s="6">
        <v>2900210</v>
      </c>
      <c r="B207" s="6" t="s">
        <v>504</v>
      </c>
      <c r="C207" s="77">
        <v>31764</v>
      </c>
    </row>
    <row r="208" spans="1:3" x14ac:dyDescent="0.25">
      <c r="A208" s="6">
        <v>2900213</v>
      </c>
      <c r="B208" s="6" t="s">
        <v>505</v>
      </c>
      <c r="C208" s="77">
        <v>42858</v>
      </c>
    </row>
    <row r="209" spans="1:3" x14ac:dyDescent="0.25">
      <c r="A209" s="6">
        <v>2900220</v>
      </c>
      <c r="B209" s="6" t="s">
        <v>506</v>
      </c>
      <c r="C209" s="77">
        <v>29600</v>
      </c>
    </row>
    <row r="210" spans="1:3" x14ac:dyDescent="0.25">
      <c r="A210" s="6">
        <v>2900225</v>
      </c>
      <c r="B210" s="6" t="s">
        <v>507</v>
      </c>
      <c r="C210" s="77">
        <v>53316</v>
      </c>
    </row>
    <row r="211" spans="1:3" x14ac:dyDescent="0.25">
      <c r="A211" s="6">
        <v>2900230</v>
      </c>
      <c r="B211" s="6" t="s">
        <v>508</v>
      </c>
      <c r="C211" s="77">
        <v>173011</v>
      </c>
    </row>
    <row r="212" spans="1:3" x14ac:dyDescent="0.25">
      <c r="A212" s="6">
        <v>2900233</v>
      </c>
      <c r="B212" s="6" t="s">
        <v>509</v>
      </c>
      <c r="C212" s="77">
        <v>240160</v>
      </c>
    </row>
    <row r="213" spans="1:3" x14ac:dyDescent="0.25">
      <c r="A213" s="6">
        <v>2900237</v>
      </c>
      <c r="B213" s="6" t="s">
        <v>510</v>
      </c>
      <c r="C213" s="77">
        <v>21093</v>
      </c>
    </row>
    <row r="214" spans="1:3" x14ac:dyDescent="0.25">
      <c r="A214" s="6">
        <v>2900240</v>
      </c>
      <c r="B214" s="6" t="s">
        <v>511</v>
      </c>
      <c r="C214" s="77">
        <v>408703</v>
      </c>
    </row>
    <row r="215" spans="1:3" x14ac:dyDescent="0.25">
      <c r="A215" s="6">
        <v>2900242</v>
      </c>
      <c r="B215" s="6" t="s">
        <v>512</v>
      </c>
      <c r="C215" s="77">
        <v>26369</v>
      </c>
    </row>
    <row r="216" spans="1:3" x14ac:dyDescent="0.25">
      <c r="A216" s="6">
        <v>2900244</v>
      </c>
      <c r="B216" s="6" t="s">
        <v>513</v>
      </c>
      <c r="C216" s="77">
        <v>50338</v>
      </c>
    </row>
    <row r="217" spans="1:3" x14ac:dyDescent="0.25">
      <c r="A217" s="6">
        <v>2900246</v>
      </c>
      <c r="B217" s="6" t="s">
        <v>514</v>
      </c>
      <c r="C217" s="77">
        <v>88137</v>
      </c>
    </row>
    <row r="218" spans="1:3" x14ac:dyDescent="0.25">
      <c r="A218" s="6">
        <v>2900251</v>
      </c>
      <c r="B218" s="6" t="s">
        <v>515</v>
      </c>
      <c r="C218" s="77">
        <v>188299</v>
      </c>
    </row>
    <row r="219" spans="1:3" x14ac:dyDescent="0.25">
      <c r="A219" s="6">
        <v>2900265</v>
      </c>
      <c r="B219" s="6" t="s">
        <v>516</v>
      </c>
      <c r="C219" s="77">
        <v>11929</v>
      </c>
    </row>
    <row r="220" spans="1:3" x14ac:dyDescent="0.25">
      <c r="A220" s="6">
        <v>2900266</v>
      </c>
      <c r="B220" s="6" t="s">
        <v>517</v>
      </c>
      <c r="C220" s="77">
        <v>23856</v>
      </c>
    </row>
    <row r="221" spans="1:3" x14ac:dyDescent="0.25">
      <c r="A221" s="6">
        <v>2900282</v>
      </c>
      <c r="B221" s="6" t="s">
        <v>518</v>
      </c>
      <c r="C221" s="77">
        <v>6785</v>
      </c>
    </row>
    <row r="222" spans="1:3" x14ac:dyDescent="0.25">
      <c r="A222" s="6">
        <v>2900284</v>
      </c>
      <c r="B222" s="6" t="s">
        <v>519</v>
      </c>
      <c r="C222" s="77">
        <v>29988</v>
      </c>
    </row>
    <row r="223" spans="1:3" x14ac:dyDescent="0.25">
      <c r="A223" s="6">
        <v>2900285</v>
      </c>
      <c r="B223" s="6" t="s">
        <v>520</v>
      </c>
      <c r="C223" s="77">
        <v>10179</v>
      </c>
    </row>
    <row r="224" spans="1:3" x14ac:dyDescent="0.25">
      <c r="A224" s="6">
        <v>2900287</v>
      </c>
      <c r="B224" s="6" t="s">
        <v>521</v>
      </c>
      <c r="C224" s="77">
        <v>41358</v>
      </c>
    </row>
    <row r="225" spans="1:3" x14ac:dyDescent="0.25">
      <c r="A225" s="6">
        <v>2900288</v>
      </c>
      <c r="B225" s="6" t="s">
        <v>522</v>
      </c>
      <c r="C225" s="77">
        <v>60711</v>
      </c>
    </row>
    <row r="226" spans="1:3" x14ac:dyDescent="0.25">
      <c r="A226" s="6">
        <v>2900289</v>
      </c>
      <c r="B226" s="6" t="s">
        <v>523</v>
      </c>
      <c r="C226" s="77">
        <v>1863</v>
      </c>
    </row>
    <row r="227" spans="1:3" x14ac:dyDescent="0.25">
      <c r="A227" s="6">
        <v>2900291</v>
      </c>
      <c r="B227" s="6" t="s">
        <v>524</v>
      </c>
      <c r="C227" s="77">
        <v>518328</v>
      </c>
    </row>
    <row r="228" spans="1:3" x14ac:dyDescent="0.25">
      <c r="A228" s="6">
        <v>2900292</v>
      </c>
      <c r="B228" s="6" t="s">
        <v>525</v>
      </c>
      <c r="C228" s="77">
        <v>773093</v>
      </c>
    </row>
    <row r="229" spans="1:3" x14ac:dyDescent="0.25">
      <c r="A229" s="6">
        <v>2900293</v>
      </c>
      <c r="B229" s="6" t="s">
        <v>526</v>
      </c>
      <c r="C229" s="77">
        <v>2705</v>
      </c>
    </row>
    <row r="230" spans="1:3" x14ac:dyDescent="0.25">
      <c r="A230" s="6">
        <v>2900294</v>
      </c>
      <c r="B230" s="6" t="s">
        <v>527</v>
      </c>
      <c r="C230" s="77">
        <v>4201</v>
      </c>
    </row>
    <row r="231" spans="1:3" x14ac:dyDescent="0.25">
      <c r="A231" s="6">
        <v>2900295</v>
      </c>
      <c r="B231" s="6" t="s">
        <v>528</v>
      </c>
      <c r="C231" s="77">
        <v>6713</v>
      </c>
    </row>
    <row r="232" spans="1:3" x14ac:dyDescent="0.25">
      <c r="A232" s="6">
        <v>2900296</v>
      </c>
      <c r="B232" s="6" t="s">
        <v>529</v>
      </c>
      <c r="C232" s="77">
        <v>13596</v>
      </c>
    </row>
    <row r="233" spans="1:3" x14ac:dyDescent="0.25">
      <c r="A233" s="6">
        <v>2900297</v>
      </c>
      <c r="B233" s="6" t="s">
        <v>530</v>
      </c>
      <c r="C233" s="77">
        <v>20015</v>
      </c>
    </row>
    <row r="234" spans="1:3" x14ac:dyDescent="0.25">
      <c r="A234" s="6">
        <v>2900298</v>
      </c>
      <c r="B234" s="6" t="s">
        <v>531</v>
      </c>
      <c r="C234" s="77">
        <v>27414</v>
      </c>
    </row>
    <row r="235" spans="1:3" x14ac:dyDescent="0.25">
      <c r="A235" s="6">
        <v>2900299</v>
      </c>
      <c r="B235" s="6" t="s">
        <v>532</v>
      </c>
      <c r="C235" s="77">
        <v>40803</v>
      </c>
    </row>
    <row r="236" spans="1:3" x14ac:dyDescent="0.25">
      <c r="A236" s="6">
        <v>2900301</v>
      </c>
      <c r="B236" s="6" t="s">
        <v>533</v>
      </c>
      <c r="C236" s="77">
        <v>2615</v>
      </c>
    </row>
    <row r="237" spans="1:3" x14ac:dyDescent="0.25">
      <c r="A237" s="6">
        <v>2900302</v>
      </c>
      <c r="B237" s="6" t="s">
        <v>534</v>
      </c>
      <c r="C237" s="77">
        <v>5139</v>
      </c>
    </row>
    <row r="238" spans="1:3" x14ac:dyDescent="0.25">
      <c r="A238" s="6">
        <v>2900311</v>
      </c>
      <c r="B238" s="6" t="s">
        <v>535</v>
      </c>
      <c r="C238" s="77">
        <v>445044</v>
      </c>
    </row>
    <row r="239" spans="1:3" x14ac:dyDescent="0.25">
      <c r="A239" s="6">
        <v>2900313</v>
      </c>
      <c r="B239" s="6" t="s">
        <v>536</v>
      </c>
      <c r="C239" s="77">
        <v>640391</v>
      </c>
    </row>
    <row r="240" spans="1:3" x14ac:dyDescent="0.25">
      <c r="A240" s="6">
        <v>2900314</v>
      </c>
      <c r="B240" s="6" t="s">
        <v>537</v>
      </c>
      <c r="C240" s="77">
        <v>1173831</v>
      </c>
    </row>
    <row r="241" spans="1:3" x14ac:dyDescent="0.25">
      <c r="A241" s="6">
        <v>2900315</v>
      </c>
      <c r="B241" s="6" t="s">
        <v>538</v>
      </c>
      <c r="C241" s="77">
        <v>1516002</v>
      </c>
    </row>
    <row r="242" spans="1:3" x14ac:dyDescent="0.25">
      <c r="A242" s="6">
        <v>2900316</v>
      </c>
      <c r="B242" s="6" t="s">
        <v>539</v>
      </c>
      <c r="C242" s="77">
        <v>1976419</v>
      </c>
    </row>
    <row r="243" spans="1:3" x14ac:dyDescent="0.25">
      <c r="A243" s="6">
        <v>2900317</v>
      </c>
      <c r="B243" s="6" t="s">
        <v>540</v>
      </c>
      <c r="C243" s="77">
        <v>304710</v>
      </c>
    </row>
    <row r="244" spans="1:3" x14ac:dyDescent="0.25">
      <c r="A244" s="6">
        <v>2900319</v>
      </c>
      <c r="B244" s="6" t="s">
        <v>541</v>
      </c>
      <c r="C244" s="77">
        <v>61495</v>
      </c>
    </row>
    <row r="245" spans="1:3" x14ac:dyDescent="0.25">
      <c r="A245" s="6">
        <v>2900323</v>
      </c>
      <c r="B245" s="6" t="s">
        <v>542</v>
      </c>
      <c r="C245" s="77">
        <v>76243</v>
      </c>
    </row>
    <row r="246" spans="1:3" x14ac:dyDescent="0.25">
      <c r="A246" s="6">
        <v>2900326</v>
      </c>
      <c r="B246" s="6" t="s">
        <v>543</v>
      </c>
      <c r="C246" s="77">
        <v>113879</v>
      </c>
    </row>
    <row r="247" spans="1:3" x14ac:dyDescent="0.25">
      <c r="A247" s="6">
        <v>2900330</v>
      </c>
      <c r="B247" s="6" t="s">
        <v>544</v>
      </c>
      <c r="C247" s="77">
        <v>160159</v>
      </c>
    </row>
    <row r="248" spans="1:3" x14ac:dyDescent="0.25">
      <c r="A248" s="6">
        <v>2900331</v>
      </c>
      <c r="B248" s="6" t="s">
        <v>545</v>
      </c>
      <c r="C248" s="77">
        <v>160159</v>
      </c>
    </row>
    <row r="249" spans="1:3" x14ac:dyDescent="0.25">
      <c r="A249" s="6">
        <v>2900335</v>
      </c>
      <c r="B249" s="6" t="s">
        <v>546</v>
      </c>
      <c r="C249" s="77">
        <v>336078</v>
      </c>
    </row>
    <row r="250" spans="1:3" x14ac:dyDescent="0.25">
      <c r="A250" s="6">
        <v>2900336</v>
      </c>
      <c r="B250" s="6" t="s">
        <v>547</v>
      </c>
      <c r="C250" s="77">
        <v>336078</v>
      </c>
    </row>
    <row r="251" spans="1:3" x14ac:dyDescent="0.25">
      <c r="A251" s="6">
        <v>2900338</v>
      </c>
      <c r="B251" s="6" t="s">
        <v>548</v>
      </c>
      <c r="C251" s="77">
        <v>34545</v>
      </c>
    </row>
    <row r="252" spans="1:3" x14ac:dyDescent="0.25">
      <c r="A252" s="6">
        <v>2900341</v>
      </c>
      <c r="B252" s="6" t="s">
        <v>549</v>
      </c>
      <c r="C252" s="77">
        <v>49944</v>
      </c>
    </row>
    <row r="253" spans="1:3" x14ac:dyDescent="0.25">
      <c r="A253" s="6">
        <v>2900344</v>
      </c>
      <c r="B253" s="6" t="s">
        <v>550</v>
      </c>
      <c r="C253" s="77">
        <v>66658</v>
      </c>
    </row>
    <row r="254" spans="1:3" x14ac:dyDescent="0.25">
      <c r="A254" s="6">
        <v>2900347</v>
      </c>
      <c r="B254" s="6" t="s">
        <v>551</v>
      </c>
      <c r="C254" s="77">
        <v>114940</v>
      </c>
    </row>
    <row r="255" spans="1:3" x14ac:dyDescent="0.25">
      <c r="A255" s="6">
        <v>2900353</v>
      </c>
      <c r="B255" s="6" t="s">
        <v>552</v>
      </c>
      <c r="C255" s="77">
        <v>1702</v>
      </c>
    </row>
    <row r="256" spans="1:3" x14ac:dyDescent="0.25">
      <c r="A256" s="6">
        <v>2900355</v>
      </c>
      <c r="B256" s="6" t="s">
        <v>553</v>
      </c>
      <c r="C256" s="77">
        <v>381578</v>
      </c>
    </row>
    <row r="257" spans="1:3" x14ac:dyDescent="0.25">
      <c r="A257" s="6">
        <v>2900356</v>
      </c>
      <c r="B257" s="6" t="s">
        <v>554</v>
      </c>
      <c r="C257" s="77">
        <v>634120</v>
      </c>
    </row>
    <row r="258" spans="1:3" x14ac:dyDescent="0.25">
      <c r="A258" s="6">
        <v>2900357</v>
      </c>
      <c r="B258" s="6" t="s">
        <v>555</v>
      </c>
      <c r="C258" s="77">
        <v>381494</v>
      </c>
    </row>
    <row r="259" spans="1:3" x14ac:dyDescent="0.25">
      <c r="A259" s="6">
        <v>2900358</v>
      </c>
      <c r="B259" s="6" t="s">
        <v>556</v>
      </c>
      <c r="C259" s="77">
        <v>1117016</v>
      </c>
    </row>
    <row r="260" spans="1:3" x14ac:dyDescent="0.25">
      <c r="A260" s="6">
        <v>2900359</v>
      </c>
      <c r="B260" s="6" t="s">
        <v>2789</v>
      </c>
      <c r="C260" s="77">
        <v>463071</v>
      </c>
    </row>
    <row r="261" spans="1:3" x14ac:dyDescent="0.25">
      <c r="A261" s="6">
        <v>2900366</v>
      </c>
      <c r="B261" s="6" t="s">
        <v>557</v>
      </c>
      <c r="C261" s="77">
        <v>348465</v>
      </c>
    </row>
    <row r="262" spans="1:3" x14ac:dyDescent="0.25">
      <c r="A262" s="6">
        <v>2900368</v>
      </c>
      <c r="B262" s="6" t="s">
        <v>558</v>
      </c>
      <c r="C262" s="77">
        <v>34808</v>
      </c>
    </row>
    <row r="263" spans="1:3" x14ac:dyDescent="0.25">
      <c r="A263" s="6">
        <v>2900369</v>
      </c>
      <c r="B263" s="6" t="s">
        <v>559</v>
      </c>
      <c r="C263" s="77">
        <v>33329</v>
      </c>
    </row>
    <row r="264" spans="1:3" x14ac:dyDescent="0.25">
      <c r="A264" s="6">
        <v>2900370</v>
      </c>
      <c r="B264" s="6" t="s">
        <v>560</v>
      </c>
      <c r="C264" s="77">
        <v>57470</v>
      </c>
    </row>
    <row r="265" spans="1:3" x14ac:dyDescent="0.25">
      <c r="A265" s="6">
        <v>2900371</v>
      </c>
      <c r="B265" s="6" t="s">
        <v>561</v>
      </c>
      <c r="C265" s="77">
        <v>11929</v>
      </c>
    </row>
    <row r="266" spans="1:3" x14ac:dyDescent="0.25">
      <c r="A266" s="6">
        <v>2900372</v>
      </c>
      <c r="B266" s="6" t="s">
        <v>562</v>
      </c>
      <c r="C266" s="77">
        <v>8513</v>
      </c>
    </row>
    <row r="267" spans="1:3" x14ac:dyDescent="0.25">
      <c r="A267" s="6">
        <v>2900373</v>
      </c>
      <c r="B267" s="6" t="s">
        <v>563</v>
      </c>
      <c r="C267" s="77">
        <v>15882</v>
      </c>
    </row>
    <row r="268" spans="1:3" x14ac:dyDescent="0.25">
      <c r="A268" s="6">
        <v>2900374</v>
      </c>
      <c r="B268" s="6" t="s">
        <v>564</v>
      </c>
      <c r="C268" s="77">
        <v>10546</v>
      </c>
    </row>
    <row r="269" spans="1:3" x14ac:dyDescent="0.25">
      <c r="A269" s="6">
        <v>2900375</v>
      </c>
      <c r="B269" s="6" t="s">
        <v>565</v>
      </c>
      <c r="C269" s="77">
        <v>21428</v>
      </c>
    </row>
    <row r="270" spans="1:3" x14ac:dyDescent="0.25">
      <c r="A270" s="6">
        <v>2900376</v>
      </c>
      <c r="B270" s="6" t="s">
        <v>566</v>
      </c>
      <c r="C270" s="77">
        <v>24972</v>
      </c>
    </row>
    <row r="271" spans="1:3" x14ac:dyDescent="0.25">
      <c r="A271" s="6">
        <v>2900377</v>
      </c>
      <c r="B271" s="6" t="s">
        <v>567</v>
      </c>
      <c r="C271" s="77">
        <v>26659</v>
      </c>
    </row>
    <row r="272" spans="1:3" x14ac:dyDescent="0.25">
      <c r="A272" s="6">
        <v>2900378</v>
      </c>
      <c r="B272" s="6" t="s">
        <v>568</v>
      </c>
      <c r="C272" s="77">
        <v>53377</v>
      </c>
    </row>
    <row r="273" spans="1:3" x14ac:dyDescent="0.25">
      <c r="A273" s="6">
        <v>2900380</v>
      </c>
      <c r="B273" s="6" t="s">
        <v>569</v>
      </c>
      <c r="C273" s="77">
        <v>14799</v>
      </c>
    </row>
    <row r="274" spans="1:3" x14ac:dyDescent="0.25">
      <c r="A274" s="6">
        <v>2900381</v>
      </c>
      <c r="B274" s="6" t="s">
        <v>570</v>
      </c>
      <c r="C274" s="77">
        <v>56941</v>
      </c>
    </row>
    <row r="275" spans="1:3" x14ac:dyDescent="0.25">
      <c r="A275" s="6">
        <v>2900382</v>
      </c>
      <c r="B275" s="6" t="s">
        <v>571</v>
      </c>
      <c r="C275" s="77">
        <v>38122</v>
      </c>
    </row>
    <row r="276" spans="1:3" x14ac:dyDescent="0.25">
      <c r="A276" s="6">
        <v>2900383</v>
      </c>
      <c r="B276" s="6" t="s">
        <v>572</v>
      </c>
      <c r="C276" s="77">
        <v>80080</v>
      </c>
    </row>
    <row r="277" spans="1:3" x14ac:dyDescent="0.25">
      <c r="A277" s="6">
        <v>2900384</v>
      </c>
      <c r="B277" s="6" t="s">
        <v>573</v>
      </c>
      <c r="C277" s="77">
        <v>30748</v>
      </c>
    </row>
    <row r="278" spans="1:3" x14ac:dyDescent="0.25">
      <c r="A278" s="6">
        <v>2900388</v>
      </c>
      <c r="B278" s="6" t="s">
        <v>574</v>
      </c>
      <c r="C278" s="77">
        <v>17274</v>
      </c>
    </row>
    <row r="279" spans="1:3" x14ac:dyDescent="0.25">
      <c r="A279" s="6">
        <v>2900395</v>
      </c>
      <c r="B279" s="6" t="s">
        <v>2790</v>
      </c>
      <c r="C279" s="77">
        <v>748436</v>
      </c>
    </row>
    <row r="280" spans="1:3" x14ac:dyDescent="0.25">
      <c r="A280" s="6">
        <v>2900404</v>
      </c>
      <c r="B280" s="6" t="s">
        <v>575</v>
      </c>
      <c r="C280" s="77">
        <v>6281</v>
      </c>
    </row>
    <row r="281" spans="1:3" x14ac:dyDescent="0.25">
      <c r="A281" s="6">
        <v>2900420</v>
      </c>
      <c r="B281" s="6" t="s">
        <v>576</v>
      </c>
      <c r="C281" s="77">
        <v>604603</v>
      </c>
    </row>
    <row r="282" spans="1:3" x14ac:dyDescent="0.25">
      <c r="A282" s="6">
        <v>2900421</v>
      </c>
      <c r="B282" s="6" t="s">
        <v>577</v>
      </c>
      <c r="C282" s="77">
        <v>944369</v>
      </c>
    </row>
    <row r="283" spans="1:3" x14ac:dyDescent="0.25">
      <c r="A283" s="6">
        <v>2900427</v>
      </c>
      <c r="B283" s="6" t="s">
        <v>2791</v>
      </c>
      <c r="C283" s="77">
        <v>1666294</v>
      </c>
    </row>
    <row r="284" spans="1:3" x14ac:dyDescent="0.25">
      <c r="A284" s="6">
        <v>2900442</v>
      </c>
      <c r="B284" s="6" t="s">
        <v>578</v>
      </c>
      <c r="C284" s="77">
        <v>809841</v>
      </c>
    </row>
    <row r="285" spans="1:3" x14ac:dyDescent="0.25">
      <c r="A285" s="6">
        <v>2900443</v>
      </c>
      <c r="B285" s="6" t="s">
        <v>579</v>
      </c>
      <c r="C285" s="77">
        <v>1314093</v>
      </c>
    </row>
    <row r="286" spans="1:3" x14ac:dyDescent="0.25">
      <c r="A286" s="6">
        <v>2900445</v>
      </c>
      <c r="B286" s="6" t="s">
        <v>2792</v>
      </c>
      <c r="C286" s="77">
        <v>1422167</v>
      </c>
    </row>
    <row r="287" spans="1:3" x14ac:dyDescent="0.25">
      <c r="A287" s="6">
        <v>2900461</v>
      </c>
      <c r="B287" s="6" t="s">
        <v>2793</v>
      </c>
      <c r="C287" s="77">
        <v>2792840</v>
      </c>
    </row>
    <row r="288" spans="1:3" x14ac:dyDescent="0.25">
      <c r="A288" s="6">
        <v>2900462</v>
      </c>
      <c r="B288" s="6" t="s">
        <v>2794</v>
      </c>
      <c r="C288" s="77">
        <v>2340892</v>
      </c>
    </row>
    <row r="289" spans="1:3" x14ac:dyDescent="0.25">
      <c r="A289" s="6">
        <v>2900489</v>
      </c>
      <c r="B289" s="6" t="s">
        <v>580</v>
      </c>
      <c r="C289" s="77">
        <v>11930</v>
      </c>
    </row>
    <row r="290" spans="1:3" x14ac:dyDescent="0.25">
      <c r="A290" s="6">
        <v>2900490</v>
      </c>
      <c r="B290" s="6" t="s">
        <v>581</v>
      </c>
      <c r="C290" s="77">
        <v>6281</v>
      </c>
    </row>
    <row r="291" spans="1:3" x14ac:dyDescent="0.25">
      <c r="A291" s="6">
        <v>2900505</v>
      </c>
      <c r="B291" s="6" t="s">
        <v>582</v>
      </c>
      <c r="C291" s="77">
        <v>33129</v>
      </c>
    </row>
    <row r="292" spans="1:3" x14ac:dyDescent="0.25">
      <c r="A292" s="6">
        <v>2900511</v>
      </c>
      <c r="B292" s="6" t="s">
        <v>583</v>
      </c>
      <c r="C292" s="77">
        <v>3545605</v>
      </c>
    </row>
    <row r="293" spans="1:3" x14ac:dyDescent="0.25">
      <c r="A293" s="6">
        <v>2900517</v>
      </c>
      <c r="B293" s="6" t="s">
        <v>584</v>
      </c>
      <c r="C293" s="77">
        <v>618495</v>
      </c>
    </row>
    <row r="294" spans="1:3" x14ac:dyDescent="0.25">
      <c r="A294" s="6">
        <v>2900518</v>
      </c>
      <c r="B294" s="6" t="s">
        <v>585</v>
      </c>
      <c r="C294" s="77">
        <v>772357</v>
      </c>
    </row>
    <row r="295" spans="1:3" x14ac:dyDescent="0.25">
      <c r="A295" s="6">
        <v>2900523</v>
      </c>
      <c r="B295" s="6" t="s">
        <v>586</v>
      </c>
      <c r="C295" s="77">
        <v>2116183</v>
      </c>
    </row>
    <row r="296" spans="1:3" x14ac:dyDescent="0.25">
      <c r="A296" s="6">
        <v>2900524</v>
      </c>
      <c r="B296" s="6" t="s">
        <v>587</v>
      </c>
      <c r="C296" s="77">
        <v>2573925</v>
      </c>
    </row>
    <row r="297" spans="1:3" x14ac:dyDescent="0.25">
      <c r="A297" s="6">
        <v>2900531</v>
      </c>
      <c r="B297" s="6" t="s">
        <v>588</v>
      </c>
      <c r="C297" s="77">
        <v>3977</v>
      </c>
    </row>
    <row r="298" spans="1:3" x14ac:dyDescent="0.25">
      <c r="A298" s="6">
        <v>2900559</v>
      </c>
      <c r="B298" s="6" t="s">
        <v>589</v>
      </c>
      <c r="C298" s="77">
        <v>4870</v>
      </c>
    </row>
    <row r="299" spans="1:3" x14ac:dyDescent="0.25">
      <c r="A299" s="6">
        <v>2900611</v>
      </c>
      <c r="B299" s="6" t="s">
        <v>590</v>
      </c>
      <c r="C299" s="77">
        <v>3410</v>
      </c>
    </row>
    <row r="300" spans="1:3" x14ac:dyDescent="0.25">
      <c r="A300" s="6">
        <v>2900669</v>
      </c>
      <c r="B300" s="6" t="s">
        <v>591</v>
      </c>
      <c r="C300" s="77">
        <v>17924</v>
      </c>
    </row>
    <row r="301" spans="1:3" x14ac:dyDescent="0.25">
      <c r="A301" s="6">
        <v>2900670</v>
      </c>
      <c r="B301" s="6" t="s">
        <v>592</v>
      </c>
      <c r="C301" s="77">
        <v>35322</v>
      </c>
    </row>
    <row r="302" spans="1:3" x14ac:dyDescent="0.25">
      <c r="A302" s="6">
        <v>2900671</v>
      </c>
      <c r="B302" s="6" t="s">
        <v>593</v>
      </c>
      <c r="C302" s="77">
        <v>68702</v>
      </c>
    </row>
    <row r="303" spans="1:3" x14ac:dyDescent="0.25">
      <c r="A303" s="6">
        <v>2900672</v>
      </c>
      <c r="B303" s="6" t="s">
        <v>594</v>
      </c>
      <c r="C303" s="77">
        <v>7878</v>
      </c>
    </row>
    <row r="304" spans="1:3" x14ac:dyDescent="0.25">
      <c r="A304" s="6">
        <v>2900673</v>
      </c>
      <c r="B304" s="6" t="s">
        <v>595</v>
      </c>
      <c r="C304" s="77">
        <v>13087</v>
      </c>
    </row>
    <row r="305" spans="1:3" x14ac:dyDescent="0.25">
      <c r="A305" s="6">
        <v>2900674</v>
      </c>
      <c r="B305" s="6" t="s">
        <v>596</v>
      </c>
      <c r="C305" s="77">
        <v>583</v>
      </c>
    </row>
    <row r="306" spans="1:3" x14ac:dyDescent="0.25">
      <c r="A306" s="6">
        <v>2900675</v>
      </c>
      <c r="B306" s="6" t="s">
        <v>597</v>
      </c>
      <c r="C306" s="77">
        <v>186</v>
      </c>
    </row>
    <row r="307" spans="1:3" x14ac:dyDescent="0.25">
      <c r="A307" s="6">
        <v>2900676</v>
      </c>
      <c r="B307" s="6" t="s">
        <v>598</v>
      </c>
      <c r="C307" s="77">
        <v>673</v>
      </c>
    </row>
    <row r="308" spans="1:3" x14ac:dyDescent="0.25">
      <c r="A308" s="6">
        <v>2900678</v>
      </c>
      <c r="B308" s="6" t="s">
        <v>599</v>
      </c>
      <c r="C308" s="77">
        <v>7082</v>
      </c>
    </row>
    <row r="309" spans="1:3" x14ac:dyDescent="0.25">
      <c r="A309" s="6">
        <v>2900680</v>
      </c>
      <c r="B309" s="6" t="s">
        <v>600</v>
      </c>
      <c r="C309" s="77">
        <v>15230</v>
      </c>
    </row>
    <row r="310" spans="1:3" x14ac:dyDescent="0.25">
      <c r="A310" s="6">
        <v>2900682</v>
      </c>
      <c r="B310" s="6" t="s">
        <v>601</v>
      </c>
      <c r="C310" s="77">
        <v>22644</v>
      </c>
    </row>
    <row r="311" spans="1:3" x14ac:dyDescent="0.25">
      <c r="A311" s="6">
        <v>2900686</v>
      </c>
      <c r="B311" s="6" t="s">
        <v>602</v>
      </c>
      <c r="C311" s="77">
        <v>58942</v>
      </c>
    </row>
    <row r="312" spans="1:3" x14ac:dyDescent="0.25">
      <c r="A312" s="6">
        <v>2900689</v>
      </c>
      <c r="B312" s="6" t="s">
        <v>603</v>
      </c>
      <c r="C312" s="77">
        <v>4133</v>
      </c>
    </row>
    <row r="313" spans="1:3" x14ac:dyDescent="0.25">
      <c r="A313" s="6">
        <v>2900691</v>
      </c>
      <c r="B313" s="6" t="s">
        <v>604</v>
      </c>
      <c r="C313" s="77">
        <v>2674</v>
      </c>
    </row>
    <row r="314" spans="1:3" x14ac:dyDescent="0.25">
      <c r="A314" s="6">
        <v>2900698</v>
      </c>
      <c r="B314" s="6" t="s">
        <v>605</v>
      </c>
      <c r="C314" s="77">
        <v>2057</v>
      </c>
    </row>
    <row r="315" spans="1:3" x14ac:dyDescent="0.25">
      <c r="A315" s="6">
        <v>2900702</v>
      </c>
      <c r="B315" s="6" t="s">
        <v>606</v>
      </c>
      <c r="C315" s="77">
        <v>5687</v>
      </c>
    </row>
    <row r="316" spans="1:3" x14ac:dyDescent="0.25">
      <c r="A316" s="6">
        <v>2900706</v>
      </c>
      <c r="B316" s="6" t="s">
        <v>607</v>
      </c>
      <c r="C316" s="77">
        <v>3363</v>
      </c>
    </row>
    <row r="317" spans="1:3" x14ac:dyDescent="0.25">
      <c r="A317" s="6">
        <v>2900714</v>
      </c>
      <c r="B317" s="6" t="s">
        <v>608</v>
      </c>
      <c r="C317" s="77">
        <v>513</v>
      </c>
    </row>
    <row r="318" spans="1:3" x14ac:dyDescent="0.25">
      <c r="A318" s="6">
        <v>2900724</v>
      </c>
      <c r="B318" s="6" t="s">
        <v>609</v>
      </c>
      <c r="C318" s="77">
        <v>10124</v>
      </c>
    </row>
    <row r="319" spans="1:3" x14ac:dyDescent="0.25">
      <c r="A319" s="6">
        <v>2900728</v>
      </c>
      <c r="B319" s="6" t="s">
        <v>610</v>
      </c>
      <c r="C319" s="77">
        <v>18838</v>
      </c>
    </row>
    <row r="320" spans="1:3" x14ac:dyDescent="0.25">
      <c r="A320" s="6">
        <v>2900733</v>
      </c>
      <c r="B320" s="6" t="s">
        <v>611</v>
      </c>
      <c r="C320" s="77">
        <v>29743</v>
      </c>
    </row>
    <row r="321" spans="1:3" x14ac:dyDescent="0.25">
      <c r="A321" s="6">
        <v>2900740</v>
      </c>
      <c r="B321" s="6" t="s">
        <v>612</v>
      </c>
      <c r="C321" s="77">
        <v>923</v>
      </c>
    </row>
    <row r="322" spans="1:3" x14ac:dyDescent="0.25">
      <c r="A322" s="6">
        <v>2900749</v>
      </c>
      <c r="B322" s="6" t="s">
        <v>613</v>
      </c>
      <c r="C322" s="77">
        <v>53709</v>
      </c>
    </row>
    <row r="323" spans="1:3" x14ac:dyDescent="0.25">
      <c r="A323" s="6">
        <v>2900755</v>
      </c>
      <c r="B323" s="6" t="s">
        <v>614</v>
      </c>
      <c r="C323" s="77">
        <v>2620</v>
      </c>
    </row>
    <row r="324" spans="1:3" x14ac:dyDescent="0.25">
      <c r="A324" s="6">
        <v>2900762</v>
      </c>
      <c r="B324" s="6" t="s">
        <v>615</v>
      </c>
      <c r="C324" s="77">
        <v>1718</v>
      </c>
    </row>
    <row r="325" spans="1:3" x14ac:dyDescent="0.25">
      <c r="A325" s="6">
        <v>2900767</v>
      </c>
      <c r="B325" s="6" t="s">
        <v>616</v>
      </c>
      <c r="C325" s="77">
        <v>4237</v>
      </c>
    </row>
    <row r="326" spans="1:3" x14ac:dyDescent="0.25">
      <c r="A326" s="6">
        <v>2900771</v>
      </c>
      <c r="B326" s="6" t="s">
        <v>617</v>
      </c>
      <c r="C326" s="77">
        <v>3616</v>
      </c>
    </row>
    <row r="327" spans="1:3" x14ac:dyDescent="0.25">
      <c r="A327" s="6">
        <v>2900779</v>
      </c>
      <c r="B327" s="6" t="s">
        <v>618</v>
      </c>
      <c r="C327" s="77">
        <v>454</v>
      </c>
    </row>
    <row r="328" spans="1:3" x14ac:dyDescent="0.25">
      <c r="A328" s="6">
        <v>2900784</v>
      </c>
      <c r="B328" s="6" t="s">
        <v>619</v>
      </c>
      <c r="C328" s="77">
        <v>6053</v>
      </c>
    </row>
    <row r="329" spans="1:3" x14ac:dyDescent="0.25">
      <c r="A329" s="6">
        <v>2900790</v>
      </c>
      <c r="B329" s="6" t="s">
        <v>620</v>
      </c>
      <c r="C329" s="77">
        <v>15738</v>
      </c>
    </row>
    <row r="330" spans="1:3" x14ac:dyDescent="0.25">
      <c r="A330" s="6">
        <v>2900794</v>
      </c>
      <c r="B330" s="6" t="s">
        <v>621</v>
      </c>
      <c r="C330" s="77">
        <v>23793</v>
      </c>
    </row>
    <row r="331" spans="1:3" x14ac:dyDescent="0.25">
      <c r="A331" s="6">
        <v>2900802</v>
      </c>
      <c r="B331" s="6" t="s">
        <v>622</v>
      </c>
      <c r="C331" s="77">
        <v>823</v>
      </c>
    </row>
    <row r="332" spans="1:3" x14ac:dyDescent="0.25">
      <c r="A332" s="6">
        <v>2900807</v>
      </c>
      <c r="B332" s="6" t="s">
        <v>623</v>
      </c>
      <c r="C332" s="77">
        <v>43768</v>
      </c>
    </row>
    <row r="333" spans="1:3" x14ac:dyDescent="0.25">
      <c r="A333" s="6">
        <v>2900812</v>
      </c>
      <c r="B333" s="6" t="s">
        <v>624</v>
      </c>
      <c r="C333" s="77">
        <v>1175</v>
      </c>
    </row>
    <row r="334" spans="1:3" x14ac:dyDescent="0.25">
      <c r="A334" s="6">
        <v>2900816</v>
      </c>
      <c r="B334" s="6" t="s">
        <v>625</v>
      </c>
      <c r="C334" s="77">
        <v>3321</v>
      </c>
    </row>
    <row r="335" spans="1:3" x14ac:dyDescent="0.25">
      <c r="A335" s="6">
        <v>2900820</v>
      </c>
      <c r="B335" s="6" t="s">
        <v>626</v>
      </c>
      <c r="C335" s="77">
        <v>2835</v>
      </c>
    </row>
    <row r="336" spans="1:3" x14ac:dyDescent="0.25">
      <c r="A336" s="6">
        <v>2900825</v>
      </c>
      <c r="B336" s="6" t="s">
        <v>627</v>
      </c>
      <c r="C336" s="77">
        <v>471</v>
      </c>
    </row>
    <row r="337" spans="1:3" x14ac:dyDescent="0.25">
      <c r="A337" s="6">
        <v>2900829</v>
      </c>
      <c r="B337" s="6" t="s">
        <v>628</v>
      </c>
      <c r="C337" s="77">
        <v>4815</v>
      </c>
    </row>
    <row r="338" spans="1:3" x14ac:dyDescent="0.25">
      <c r="A338" s="6">
        <v>2900831</v>
      </c>
      <c r="B338" s="6" t="s">
        <v>629</v>
      </c>
      <c r="C338" s="77">
        <v>4552</v>
      </c>
    </row>
    <row r="339" spans="1:3" x14ac:dyDescent="0.25">
      <c r="A339" s="6">
        <v>2900833</v>
      </c>
      <c r="B339" s="6" t="s">
        <v>630</v>
      </c>
      <c r="C339" s="77">
        <v>16617</v>
      </c>
    </row>
    <row r="340" spans="1:3" x14ac:dyDescent="0.25">
      <c r="A340" s="6">
        <v>2900834</v>
      </c>
      <c r="B340" s="6" t="s">
        <v>631</v>
      </c>
      <c r="C340" s="77">
        <v>6889</v>
      </c>
    </row>
    <row r="341" spans="1:3" x14ac:dyDescent="0.25">
      <c r="A341" s="6">
        <v>2900836</v>
      </c>
      <c r="B341" s="6" t="s">
        <v>632</v>
      </c>
      <c r="C341" s="77">
        <v>626</v>
      </c>
    </row>
    <row r="342" spans="1:3" x14ac:dyDescent="0.25">
      <c r="A342" s="6">
        <v>2900838</v>
      </c>
      <c r="B342" s="6" t="s">
        <v>633</v>
      </c>
      <c r="C342" s="77">
        <v>8339</v>
      </c>
    </row>
    <row r="343" spans="1:3" x14ac:dyDescent="0.25">
      <c r="A343" s="6">
        <v>2900840</v>
      </c>
      <c r="B343" s="6" t="s">
        <v>634</v>
      </c>
      <c r="C343" s="77">
        <v>13373</v>
      </c>
    </row>
    <row r="344" spans="1:3" x14ac:dyDescent="0.25">
      <c r="A344" s="6">
        <v>2900841</v>
      </c>
      <c r="B344" s="6" t="s">
        <v>635</v>
      </c>
      <c r="C344" s="77">
        <v>22267</v>
      </c>
    </row>
    <row r="345" spans="1:3" x14ac:dyDescent="0.25">
      <c r="A345" s="6">
        <v>2900844</v>
      </c>
      <c r="B345" s="6" t="s">
        <v>636</v>
      </c>
      <c r="C345" s="77">
        <v>454</v>
      </c>
    </row>
    <row r="346" spans="1:3" x14ac:dyDescent="0.25">
      <c r="A346" s="6">
        <v>2900846</v>
      </c>
      <c r="B346" s="6" t="s">
        <v>637</v>
      </c>
      <c r="C346" s="77">
        <v>2590</v>
      </c>
    </row>
    <row r="347" spans="1:3" x14ac:dyDescent="0.25">
      <c r="A347" s="6">
        <v>2900849</v>
      </c>
      <c r="B347" s="6" t="s">
        <v>638</v>
      </c>
      <c r="C347" s="77">
        <v>1270</v>
      </c>
    </row>
    <row r="348" spans="1:3" x14ac:dyDescent="0.25">
      <c r="A348" s="6">
        <v>2900854</v>
      </c>
      <c r="B348" s="6" t="s">
        <v>639</v>
      </c>
      <c r="C348" s="77">
        <v>2590</v>
      </c>
    </row>
    <row r="349" spans="1:3" x14ac:dyDescent="0.25">
      <c r="A349" s="6">
        <v>2900858</v>
      </c>
      <c r="B349" s="6" t="s">
        <v>640</v>
      </c>
      <c r="C349" s="77">
        <v>1270</v>
      </c>
    </row>
    <row r="350" spans="1:3" x14ac:dyDescent="0.25">
      <c r="A350" s="6">
        <v>2900863</v>
      </c>
      <c r="B350" s="6" t="s">
        <v>641</v>
      </c>
      <c r="C350" s="77">
        <v>5178</v>
      </c>
    </row>
    <row r="351" spans="1:3" x14ac:dyDescent="0.25">
      <c r="A351" s="6">
        <v>2900866</v>
      </c>
      <c r="B351" s="6" t="s">
        <v>642</v>
      </c>
      <c r="C351" s="77">
        <v>3765</v>
      </c>
    </row>
    <row r="352" spans="1:3" x14ac:dyDescent="0.25">
      <c r="A352" s="6">
        <v>2900871</v>
      </c>
      <c r="B352" s="6" t="s">
        <v>643</v>
      </c>
      <c r="C352" s="77">
        <v>5178</v>
      </c>
    </row>
    <row r="353" spans="1:3" x14ac:dyDescent="0.25">
      <c r="A353" s="6">
        <v>2900875</v>
      </c>
      <c r="B353" s="6" t="s">
        <v>644</v>
      </c>
      <c r="C353" s="77">
        <v>3765</v>
      </c>
    </row>
    <row r="354" spans="1:3" x14ac:dyDescent="0.25">
      <c r="A354" s="6">
        <v>2900878</v>
      </c>
      <c r="B354" s="6" t="s">
        <v>645</v>
      </c>
      <c r="C354" s="77">
        <v>5178</v>
      </c>
    </row>
    <row r="355" spans="1:3" x14ac:dyDescent="0.25">
      <c r="A355" s="6">
        <v>2900882</v>
      </c>
      <c r="B355" s="6" t="s">
        <v>646</v>
      </c>
      <c r="C355" s="77">
        <v>3765</v>
      </c>
    </row>
    <row r="356" spans="1:3" x14ac:dyDescent="0.25">
      <c r="A356" s="6">
        <v>2900887</v>
      </c>
      <c r="B356" s="6" t="s">
        <v>647</v>
      </c>
      <c r="C356" s="77">
        <v>5178</v>
      </c>
    </row>
    <row r="357" spans="1:3" x14ac:dyDescent="0.25">
      <c r="A357" s="6">
        <v>2900890</v>
      </c>
      <c r="B357" s="6" t="s">
        <v>648</v>
      </c>
      <c r="C357" s="77">
        <v>3765</v>
      </c>
    </row>
    <row r="358" spans="1:3" x14ac:dyDescent="0.25">
      <c r="A358" s="6">
        <v>2900895</v>
      </c>
      <c r="B358" s="6" t="s">
        <v>649</v>
      </c>
      <c r="C358" s="77">
        <v>4346</v>
      </c>
    </row>
    <row r="359" spans="1:3" x14ac:dyDescent="0.25">
      <c r="A359" s="6">
        <v>2900898</v>
      </c>
      <c r="B359" s="6" t="s">
        <v>650</v>
      </c>
      <c r="C359" s="77">
        <v>2439</v>
      </c>
    </row>
    <row r="360" spans="1:3" x14ac:dyDescent="0.25">
      <c r="A360" s="6">
        <v>2900903</v>
      </c>
      <c r="B360" s="6" t="s">
        <v>651</v>
      </c>
      <c r="C360" s="77">
        <v>4346</v>
      </c>
    </row>
    <row r="361" spans="1:3" x14ac:dyDescent="0.25">
      <c r="A361" s="6">
        <v>2900906</v>
      </c>
      <c r="B361" s="6" t="s">
        <v>652</v>
      </c>
      <c r="C361" s="77">
        <v>2439</v>
      </c>
    </row>
    <row r="362" spans="1:3" x14ac:dyDescent="0.25">
      <c r="A362" s="6">
        <v>2900910</v>
      </c>
      <c r="B362" s="6" t="s">
        <v>653</v>
      </c>
      <c r="C362" s="77">
        <v>4346</v>
      </c>
    </row>
    <row r="363" spans="1:3" x14ac:dyDescent="0.25">
      <c r="A363" s="6">
        <v>2900914</v>
      </c>
      <c r="B363" s="6" t="s">
        <v>654</v>
      </c>
      <c r="C363" s="77">
        <v>2439</v>
      </c>
    </row>
    <row r="364" spans="1:3" x14ac:dyDescent="0.25">
      <c r="A364" s="6">
        <v>2900918</v>
      </c>
      <c r="B364" s="6" t="s">
        <v>655</v>
      </c>
      <c r="C364" s="77">
        <v>1147</v>
      </c>
    </row>
    <row r="365" spans="1:3" x14ac:dyDescent="0.25">
      <c r="A365" s="6">
        <v>2900921</v>
      </c>
      <c r="B365" s="6" t="s">
        <v>656</v>
      </c>
      <c r="C365" s="77">
        <v>1185</v>
      </c>
    </row>
    <row r="366" spans="1:3" x14ac:dyDescent="0.25">
      <c r="A366" s="6">
        <v>2900924</v>
      </c>
      <c r="B366" s="6" t="s">
        <v>657</v>
      </c>
      <c r="C366" s="77">
        <v>8329</v>
      </c>
    </row>
    <row r="367" spans="1:3" x14ac:dyDescent="0.25">
      <c r="A367" s="6">
        <v>2900928</v>
      </c>
      <c r="B367" s="6" t="s">
        <v>658</v>
      </c>
      <c r="C367" s="77">
        <v>5756</v>
      </c>
    </row>
    <row r="368" spans="1:3" x14ac:dyDescent="0.25">
      <c r="A368" s="6">
        <v>2900933</v>
      </c>
      <c r="B368" s="6" t="s">
        <v>659</v>
      </c>
      <c r="C368" s="77">
        <v>8329</v>
      </c>
    </row>
    <row r="369" spans="1:3" x14ac:dyDescent="0.25">
      <c r="A369" s="6">
        <v>2900937</v>
      </c>
      <c r="B369" s="6" t="s">
        <v>660</v>
      </c>
      <c r="C369" s="77">
        <v>5756</v>
      </c>
    </row>
    <row r="370" spans="1:3" x14ac:dyDescent="0.25">
      <c r="A370" s="6">
        <v>2900942</v>
      </c>
      <c r="B370" s="6" t="s">
        <v>661</v>
      </c>
      <c r="C370" s="77">
        <v>8329</v>
      </c>
    </row>
    <row r="371" spans="1:3" x14ac:dyDescent="0.25">
      <c r="A371" s="6">
        <v>2900945</v>
      </c>
      <c r="B371" s="6" t="s">
        <v>662</v>
      </c>
      <c r="C371" s="77">
        <v>5756</v>
      </c>
    </row>
    <row r="372" spans="1:3" x14ac:dyDescent="0.25">
      <c r="A372" s="6">
        <v>2900950</v>
      </c>
      <c r="B372" s="6" t="s">
        <v>663</v>
      </c>
      <c r="C372" s="77">
        <v>8329</v>
      </c>
    </row>
    <row r="373" spans="1:3" x14ac:dyDescent="0.25">
      <c r="A373" s="6">
        <v>2900952</v>
      </c>
      <c r="B373" s="6" t="s">
        <v>664</v>
      </c>
      <c r="C373" s="77">
        <v>5756</v>
      </c>
    </row>
    <row r="374" spans="1:3" x14ac:dyDescent="0.25">
      <c r="A374" s="6">
        <v>2900956</v>
      </c>
      <c r="B374" s="6" t="s">
        <v>665</v>
      </c>
      <c r="C374" s="77">
        <v>8329</v>
      </c>
    </row>
    <row r="375" spans="1:3" x14ac:dyDescent="0.25">
      <c r="A375" s="6">
        <v>2900959</v>
      </c>
      <c r="B375" s="6" t="s">
        <v>666</v>
      </c>
      <c r="C375" s="77">
        <v>5756</v>
      </c>
    </row>
    <row r="376" spans="1:3" x14ac:dyDescent="0.25">
      <c r="A376" s="6">
        <v>2900964</v>
      </c>
      <c r="B376" s="6" t="s">
        <v>667</v>
      </c>
      <c r="C376" s="77">
        <v>13913</v>
      </c>
    </row>
    <row r="377" spans="1:3" x14ac:dyDescent="0.25">
      <c r="A377" s="6">
        <v>2900966</v>
      </c>
      <c r="B377" s="6" t="s">
        <v>668</v>
      </c>
      <c r="C377" s="77">
        <v>14437</v>
      </c>
    </row>
    <row r="378" spans="1:3" x14ac:dyDescent="0.25">
      <c r="A378" s="6">
        <v>2900969</v>
      </c>
      <c r="B378" s="6" t="s">
        <v>669</v>
      </c>
      <c r="C378" s="77">
        <v>13067</v>
      </c>
    </row>
    <row r="379" spans="1:3" x14ac:dyDescent="0.25">
      <c r="A379" s="6">
        <v>2900971</v>
      </c>
      <c r="B379" s="6" t="s">
        <v>670</v>
      </c>
      <c r="C379" s="77">
        <v>13559</v>
      </c>
    </row>
    <row r="380" spans="1:3" x14ac:dyDescent="0.25">
      <c r="A380" s="6">
        <v>2900976</v>
      </c>
      <c r="B380" s="6" t="s">
        <v>671</v>
      </c>
      <c r="C380" s="77">
        <v>36585</v>
      </c>
    </row>
    <row r="381" spans="1:3" x14ac:dyDescent="0.25">
      <c r="A381" s="6">
        <v>2900979</v>
      </c>
      <c r="B381" s="6" t="s">
        <v>672</v>
      </c>
      <c r="C381" s="77">
        <v>20731</v>
      </c>
    </row>
    <row r="382" spans="1:3" x14ac:dyDescent="0.25">
      <c r="A382" s="6">
        <v>2900986</v>
      </c>
      <c r="B382" s="6" t="s">
        <v>673</v>
      </c>
      <c r="C382" s="77">
        <v>20731</v>
      </c>
    </row>
    <row r="383" spans="1:3" x14ac:dyDescent="0.25">
      <c r="A383" s="6">
        <v>2900990</v>
      </c>
      <c r="B383" s="6" t="s">
        <v>674</v>
      </c>
      <c r="C383" s="77">
        <v>1486</v>
      </c>
    </row>
    <row r="384" spans="1:3" x14ac:dyDescent="0.25">
      <c r="A384" s="6">
        <v>2900995</v>
      </c>
      <c r="B384" s="6" t="s">
        <v>675</v>
      </c>
      <c r="C384" s="77">
        <v>638</v>
      </c>
    </row>
    <row r="385" spans="1:3" x14ac:dyDescent="0.25">
      <c r="A385" s="6">
        <v>2901003</v>
      </c>
      <c r="B385" s="6" t="s">
        <v>676</v>
      </c>
      <c r="C385" s="77">
        <v>32691</v>
      </c>
    </row>
    <row r="386" spans="1:3" x14ac:dyDescent="0.25">
      <c r="A386" s="6">
        <v>2901009</v>
      </c>
      <c r="B386" s="6" t="s">
        <v>677</v>
      </c>
      <c r="C386" s="77">
        <v>32691</v>
      </c>
    </row>
    <row r="387" spans="1:3" x14ac:dyDescent="0.25">
      <c r="A387" s="6">
        <v>2901011</v>
      </c>
      <c r="B387" s="6" t="s">
        <v>678</v>
      </c>
      <c r="C387" s="77">
        <v>31204</v>
      </c>
    </row>
    <row r="388" spans="1:3" x14ac:dyDescent="0.25">
      <c r="A388" s="6">
        <v>2901014</v>
      </c>
      <c r="B388" s="6" t="s">
        <v>679</v>
      </c>
      <c r="C388" s="77">
        <v>32691</v>
      </c>
    </row>
    <row r="389" spans="1:3" x14ac:dyDescent="0.25">
      <c r="A389" s="6">
        <v>2901021</v>
      </c>
      <c r="B389" s="6" t="s">
        <v>680</v>
      </c>
      <c r="C389" s="77">
        <v>2650</v>
      </c>
    </row>
    <row r="390" spans="1:3" x14ac:dyDescent="0.25">
      <c r="A390" s="6">
        <v>2901026</v>
      </c>
      <c r="B390" s="6" t="s">
        <v>681</v>
      </c>
      <c r="C390" s="77">
        <v>6098</v>
      </c>
    </row>
    <row r="391" spans="1:3" x14ac:dyDescent="0.25">
      <c r="A391" s="6">
        <v>2901028</v>
      </c>
      <c r="B391" s="6" t="s">
        <v>682</v>
      </c>
      <c r="C391" s="77">
        <v>5753</v>
      </c>
    </row>
    <row r="392" spans="1:3" x14ac:dyDescent="0.25">
      <c r="A392" s="6">
        <v>2901030</v>
      </c>
      <c r="B392" s="6" t="s">
        <v>683</v>
      </c>
      <c r="C392" s="77">
        <v>10135</v>
      </c>
    </row>
    <row r="393" spans="1:3" x14ac:dyDescent="0.25">
      <c r="A393" s="6">
        <v>2901033</v>
      </c>
      <c r="B393" s="6" t="s">
        <v>684</v>
      </c>
      <c r="C393" s="77">
        <v>10135</v>
      </c>
    </row>
    <row r="394" spans="1:3" x14ac:dyDescent="0.25">
      <c r="A394" s="6">
        <v>2901036</v>
      </c>
      <c r="B394" s="6" t="s">
        <v>685</v>
      </c>
      <c r="C394" s="77">
        <v>38107</v>
      </c>
    </row>
    <row r="395" spans="1:3" x14ac:dyDescent="0.25">
      <c r="A395" s="6">
        <v>2901040</v>
      </c>
      <c r="B395" s="6" t="s">
        <v>686</v>
      </c>
      <c r="C395" s="77">
        <v>3194</v>
      </c>
    </row>
    <row r="396" spans="1:3" x14ac:dyDescent="0.25">
      <c r="A396" s="6">
        <v>2901042</v>
      </c>
      <c r="B396" s="6" t="s">
        <v>687</v>
      </c>
      <c r="C396" s="77">
        <v>2890</v>
      </c>
    </row>
    <row r="397" spans="1:3" x14ac:dyDescent="0.25">
      <c r="A397" s="6">
        <v>2901044</v>
      </c>
      <c r="B397" s="6" t="s">
        <v>688</v>
      </c>
      <c r="C397" s="77">
        <v>2137</v>
      </c>
    </row>
    <row r="398" spans="1:3" x14ac:dyDescent="0.25">
      <c r="A398" s="6">
        <v>2901045</v>
      </c>
      <c r="B398" s="6" t="s">
        <v>689</v>
      </c>
      <c r="C398" s="77">
        <v>23622</v>
      </c>
    </row>
    <row r="399" spans="1:3" x14ac:dyDescent="0.25">
      <c r="A399" s="6">
        <v>2901046</v>
      </c>
      <c r="B399" s="6" t="s">
        <v>690</v>
      </c>
      <c r="C399" s="77">
        <v>56710</v>
      </c>
    </row>
    <row r="400" spans="1:3" x14ac:dyDescent="0.25">
      <c r="A400" s="6">
        <v>2901051</v>
      </c>
      <c r="B400" s="6" t="s">
        <v>691</v>
      </c>
      <c r="C400" s="77">
        <v>46827</v>
      </c>
    </row>
    <row r="401" spans="1:3" x14ac:dyDescent="0.25">
      <c r="A401" s="6">
        <v>2901052</v>
      </c>
      <c r="B401" s="6" t="s">
        <v>692</v>
      </c>
      <c r="C401" s="77">
        <v>109923</v>
      </c>
    </row>
    <row r="402" spans="1:3" x14ac:dyDescent="0.25">
      <c r="A402" s="6">
        <v>2901057</v>
      </c>
      <c r="B402" s="6" t="s">
        <v>693</v>
      </c>
      <c r="C402" s="77">
        <v>7624</v>
      </c>
    </row>
    <row r="403" spans="1:3" x14ac:dyDescent="0.25">
      <c r="A403" s="6">
        <v>2901058</v>
      </c>
      <c r="B403" s="6" t="s">
        <v>694</v>
      </c>
      <c r="C403" s="77">
        <v>8879</v>
      </c>
    </row>
    <row r="404" spans="1:3" x14ac:dyDescent="0.25">
      <c r="A404" s="6">
        <v>2901059</v>
      </c>
      <c r="B404" s="6" t="s">
        <v>695</v>
      </c>
      <c r="C404" s="77">
        <v>7825</v>
      </c>
    </row>
    <row r="405" spans="1:3" x14ac:dyDescent="0.25">
      <c r="A405" s="6">
        <v>2901060</v>
      </c>
      <c r="B405" s="6" t="s">
        <v>696</v>
      </c>
      <c r="C405" s="77">
        <v>3920</v>
      </c>
    </row>
    <row r="406" spans="1:3" x14ac:dyDescent="0.25">
      <c r="A406" s="6">
        <v>2901064</v>
      </c>
      <c r="B406" s="6" t="s">
        <v>697</v>
      </c>
      <c r="C406" s="77">
        <v>3311</v>
      </c>
    </row>
    <row r="407" spans="1:3" x14ac:dyDescent="0.25">
      <c r="A407" s="6">
        <v>2901069</v>
      </c>
      <c r="B407" s="6" t="s">
        <v>698</v>
      </c>
      <c r="C407" s="77">
        <v>8029</v>
      </c>
    </row>
    <row r="408" spans="1:3" x14ac:dyDescent="0.25">
      <c r="A408" s="6">
        <v>2901073</v>
      </c>
      <c r="B408" s="6" t="s">
        <v>699</v>
      </c>
      <c r="C408" s="77">
        <v>5988</v>
      </c>
    </row>
    <row r="409" spans="1:3" x14ac:dyDescent="0.25">
      <c r="A409" s="6">
        <v>2901074</v>
      </c>
      <c r="B409" s="6" t="s">
        <v>700</v>
      </c>
      <c r="C409" s="77">
        <v>1088</v>
      </c>
    </row>
    <row r="410" spans="1:3" x14ac:dyDescent="0.25">
      <c r="A410" s="6">
        <v>2901083</v>
      </c>
      <c r="B410" s="6" t="s">
        <v>701</v>
      </c>
      <c r="C410" s="77">
        <v>13276</v>
      </c>
    </row>
    <row r="411" spans="1:3" x14ac:dyDescent="0.25">
      <c r="A411" s="6">
        <v>2901087</v>
      </c>
      <c r="B411" s="6" t="s">
        <v>702</v>
      </c>
      <c r="C411" s="77">
        <v>37424</v>
      </c>
    </row>
    <row r="412" spans="1:3" x14ac:dyDescent="0.25">
      <c r="A412" s="6">
        <v>2901090</v>
      </c>
      <c r="B412" s="6" t="s">
        <v>703</v>
      </c>
      <c r="C412" s="77">
        <v>42743</v>
      </c>
    </row>
    <row r="413" spans="1:3" x14ac:dyDescent="0.25">
      <c r="A413" s="6">
        <v>2901096</v>
      </c>
      <c r="B413" s="6" t="s">
        <v>704</v>
      </c>
      <c r="C413" s="77">
        <v>1739</v>
      </c>
    </row>
    <row r="414" spans="1:3" x14ac:dyDescent="0.25">
      <c r="A414" s="6">
        <v>2901100</v>
      </c>
      <c r="B414" s="6" t="s">
        <v>705</v>
      </c>
      <c r="C414" s="77">
        <v>90937</v>
      </c>
    </row>
    <row r="415" spans="1:3" x14ac:dyDescent="0.25">
      <c r="A415" s="6">
        <v>2901105</v>
      </c>
      <c r="B415" s="6" t="s">
        <v>706</v>
      </c>
      <c r="C415" s="77">
        <v>2062</v>
      </c>
    </row>
    <row r="416" spans="1:3" x14ac:dyDescent="0.25">
      <c r="A416" s="6">
        <v>2901110</v>
      </c>
      <c r="B416" s="6" t="s">
        <v>707</v>
      </c>
      <c r="C416" s="77">
        <v>7394</v>
      </c>
    </row>
    <row r="417" spans="1:3" x14ac:dyDescent="0.25">
      <c r="A417" s="6">
        <v>2901114</v>
      </c>
      <c r="B417" s="6" t="s">
        <v>708</v>
      </c>
      <c r="C417" s="77">
        <v>3960</v>
      </c>
    </row>
    <row r="418" spans="1:3" x14ac:dyDescent="0.25">
      <c r="A418" s="6">
        <v>2901122</v>
      </c>
      <c r="B418" s="6" t="s">
        <v>709</v>
      </c>
      <c r="C418" s="77">
        <v>659</v>
      </c>
    </row>
    <row r="419" spans="1:3" x14ac:dyDescent="0.25">
      <c r="A419" s="6">
        <v>2901127</v>
      </c>
      <c r="B419" s="6" t="s">
        <v>710</v>
      </c>
      <c r="C419" s="77">
        <v>12118</v>
      </c>
    </row>
    <row r="420" spans="1:3" x14ac:dyDescent="0.25">
      <c r="A420" s="6">
        <v>2901132</v>
      </c>
      <c r="B420" s="6" t="s">
        <v>711</v>
      </c>
      <c r="C420" s="77">
        <v>34897</v>
      </c>
    </row>
    <row r="421" spans="1:3" x14ac:dyDescent="0.25">
      <c r="A421" s="6">
        <v>2901137</v>
      </c>
      <c r="B421" s="6" t="s">
        <v>712</v>
      </c>
      <c r="C421" s="77">
        <v>45161</v>
      </c>
    </row>
    <row r="422" spans="1:3" x14ac:dyDescent="0.25">
      <c r="A422" s="6">
        <v>2901144</v>
      </c>
      <c r="B422" s="6" t="s">
        <v>713</v>
      </c>
      <c r="C422" s="77">
        <v>1055</v>
      </c>
    </row>
    <row r="423" spans="1:3" x14ac:dyDescent="0.25">
      <c r="A423" s="6">
        <v>2901149</v>
      </c>
      <c r="B423" s="6" t="s">
        <v>714</v>
      </c>
      <c r="C423" s="77">
        <v>97974</v>
      </c>
    </row>
    <row r="424" spans="1:3" x14ac:dyDescent="0.25">
      <c r="A424" s="6">
        <v>2901156</v>
      </c>
      <c r="B424" s="6" t="s">
        <v>715</v>
      </c>
      <c r="C424" s="77">
        <v>23975</v>
      </c>
    </row>
    <row r="425" spans="1:3" x14ac:dyDescent="0.25">
      <c r="A425" s="6">
        <v>2901157</v>
      </c>
      <c r="B425" s="6" t="s">
        <v>716</v>
      </c>
      <c r="C425" s="77">
        <v>32100</v>
      </c>
    </row>
    <row r="426" spans="1:3" x14ac:dyDescent="0.25">
      <c r="A426" s="6">
        <v>2901162</v>
      </c>
      <c r="B426" s="6" t="s">
        <v>717</v>
      </c>
      <c r="C426" s="77">
        <v>4717</v>
      </c>
    </row>
    <row r="427" spans="1:3" x14ac:dyDescent="0.25">
      <c r="A427" s="6">
        <v>2901163</v>
      </c>
      <c r="B427" s="6" t="s">
        <v>718</v>
      </c>
      <c r="C427" s="77">
        <v>4717</v>
      </c>
    </row>
    <row r="428" spans="1:3" x14ac:dyDescent="0.25">
      <c r="A428" s="6">
        <v>2901164</v>
      </c>
      <c r="B428" s="6" t="s">
        <v>719</v>
      </c>
      <c r="C428" s="77">
        <v>8970</v>
      </c>
    </row>
    <row r="429" spans="1:3" x14ac:dyDescent="0.25">
      <c r="A429" s="6">
        <v>2901165</v>
      </c>
      <c r="B429" s="6" t="s">
        <v>720</v>
      </c>
      <c r="C429" s="77">
        <v>8970</v>
      </c>
    </row>
    <row r="430" spans="1:3" x14ac:dyDescent="0.25">
      <c r="A430" s="6">
        <v>2901167</v>
      </c>
      <c r="B430" s="6" t="s">
        <v>721</v>
      </c>
      <c r="C430" s="77">
        <v>14890</v>
      </c>
    </row>
    <row r="431" spans="1:3" x14ac:dyDescent="0.25">
      <c r="A431" s="6">
        <v>2901168</v>
      </c>
      <c r="B431" s="6" t="s">
        <v>722</v>
      </c>
      <c r="C431" s="77">
        <v>14890</v>
      </c>
    </row>
    <row r="432" spans="1:3" x14ac:dyDescent="0.25">
      <c r="A432" s="6">
        <v>2901179</v>
      </c>
      <c r="B432" s="6" t="s">
        <v>723</v>
      </c>
      <c r="C432" s="77">
        <v>3343</v>
      </c>
    </row>
    <row r="433" spans="1:3" x14ac:dyDescent="0.25">
      <c r="A433" s="6">
        <v>2901180</v>
      </c>
      <c r="B433" s="6" t="s">
        <v>724</v>
      </c>
      <c r="C433" s="77">
        <v>3343</v>
      </c>
    </row>
    <row r="434" spans="1:3" x14ac:dyDescent="0.25">
      <c r="A434" s="6">
        <v>2901181</v>
      </c>
      <c r="B434" s="6" t="s">
        <v>725</v>
      </c>
      <c r="C434" s="77">
        <v>4055</v>
      </c>
    </row>
    <row r="435" spans="1:3" x14ac:dyDescent="0.25">
      <c r="A435" s="6">
        <v>2901183</v>
      </c>
      <c r="B435" s="6" t="s">
        <v>726</v>
      </c>
      <c r="C435" s="77">
        <v>4055</v>
      </c>
    </row>
    <row r="436" spans="1:3" x14ac:dyDescent="0.25">
      <c r="A436" s="6">
        <v>2901185</v>
      </c>
      <c r="B436" s="6" t="s">
        <v>727</v>
      </c>
      <c r="C436" s="77">
        <v>8715</v>
      </c>
    </row>
    <row r="437" spans="1:3" x14ac:dyDescent="0.25">
      <c r="A437" s="6">
        <v>2901187</v>
      </c>
      <c r="B437" s="6" t="s">
        <v>728</v>
      </c>
      <c r="C437" s="77">
        <v>8715</v>
      </c>
    </row>
    <row r="438" spans="1:3" x14ac:dyDescent="0.25">
      <c r="A438" s="6">
        <v>2901189</v>
      </c>
      <c r="B438" s="6" t="s">
        <v>729</v>
      </c>
      <c r="C438" s="77">
        <v>15349</v>
      </c>
    </row>
    <row r="439" spans="1:3" x14ac:dyDescent="0.25">
      <c r="A439" s="6">
        <v>2901191</v>
      </c>
      <c r="B439" s="6" t="s">
        <v>730</v>
      </c>
      <c r="C439" s="77">
        <v>15349</v>
      </c>
    </row>
    <row r="440" spans="1:3" x14ac:dyDescent="0.25">
      <c r="A440" s="6">
        <v>2901193</v>
      </c>
      <c r="B440" s="6" t="s">
        <v>731</v>
      </c>
      <c r="C440" s="77">
        <v>55817</v>
      </c>
    </row>
    <row r="441" spans="1:3" x14ac:dyDescent="0.25">
      <c r="A441" s="6">
        <v>2901195</v>
      </c>
      <c r="B441" s="6" t="s">
        <v>732</v>
      </c>
      <c r="C441" s="77">
        <v>55817</v>
      </c>
    </row>
    <row r="442" spans="1:3" x14ac:dyDescent="0.25">
      <c r="A442" s="6">
        <v>2901209</v>
      </c>
      <c r="B442" s="6" t="s">
        <v>733</v>
      </c>
      <c r="C442" s="77">
        <v>2890</v>
      </c>
    </row>
    <row r="443" spans="1:3" x14ac:dyDescent="0.25">
      <c r="A443" s="6">
        <v>2901210</v>
      </c>
      <c r="B443" s="6" t="s">
        <v>734</v>
      </c>
      <c r="C443" s="77">
        <v>3531</v>
      </c>
    </row>
    <row r="444" spans="1:3" x14ac:dyDescent="0.25">
      <c r="A444" s="6">
        <v>2901213</v>
      </c>
      <c r="B444" s="6" t="s">
        <v>735</v>
      </c>
      <c r="C444" s="77">
        <v>3387</v>
      </c>
    </row>
    <row r="445" spans="1:3" x14ac:dyDescent="0.25">
      <c r="A445" s="6">
        <v>2901214</v>
      </c>
      <c r="B445" s="6" t="s">
        <v>736</v>
      </c>
      <c r="C445" s="77">
        <v>4177</v>
      </c>
    </row>
    <row r="446" spans="1:3" x14ac:dyDescent="0.25">
      <c r="A446" s="6">
        <v>2901217</v>
      </c>
      <c r="B446" s="6" t="s">
        <v>737</v>
      </c>
      <c r="C446" s="77">
        <v>7846</v>
      </c>
    </row>
    <row r="447" spans="1:3" x14ac:dyDescent="0.25">
      <c r="A447" s="6">
        <v>2901218</v>
      </c>
      <c r="B447" s="6" t="s">
        <v>738</v>
      </c>
      <c r="C447" s="77">
        <v>9083</v>
      </c>
    </row>
    <row r="448" spans="1:3" x14ac:dyDescent="0.25">
      <c r="A448" s="6">
        <v>2901221</v>
      </c>
      <c r="B448" s="6" t="s">
        <v>739</v>
      </c>
      <c r="C448" s="77">
        <v>13643</v>
      </c>
    </row>
    <row r="449" spans="1:3" x14ac:dyDescent="0.25">
      <c r="A449" s="6">
        <v>2901222</v>
      </c>
      <c r="B449" s="6" t="s">
        <v>740</v>
      </c>
      <c r="C449" s="77">
        <v>16820</v>
      </c>
    </row>
    <row r="450" spans="1:3" x14ac:dyDescent="0.25">
      <c r="A450" s="6">
        <v>2901224</v>
      </c>
      <c r="B450" s="6" t="s">
        <v>741</v>
      </c>
      <c r="C450" s="77">
        <v>115483</v>
      </c>
    </row>
    <row r="451" spans="1:3" x14ac:dyDescent="0.25">
      <c r="A451" s="6">
        <v>2901226</v>
      </c>
      <c r="B451" s="6" t="s">
        <v>742</v>
      </c>
      <c r="C451" s="77">
        <v>115483</v>
      </c>
    </row>
    <row r="452" spans="1:3" x14ac:dyDescent="0.25">
      <c r="A452" s="6">
        <v>2901231</v>
      </c>
      <c r="B452" s="6" t="s">
        <v>743</v>
      </c>
      <c r="C452" s="77">
        <v>10266</v>
      </c>
    </row>
    <row r="453" spans="1:3" x14ac:dyDescent="0.25">
      <c r="A453" s="6">
        <v>2901235</v>
      </c>
      <c r="B453" s="6" t="s">
        <v>744</v>
      </c>
      <c r="C453" s="77">
        <v>16867</v>
      </c>
    </row>
    <row r="454" spans="1:3" x14ac:dyDescent="0.25">
      <c r="A454" s="6">
        <v>2901239</v>
      </c>
      <c r="B454" s="6" t="s">
        <v>745</v>
      </c>
      <c r="C454" s="77">
        <v>19746</v>
      </c>
    </row>
    <row r="455" spans="1:3" x14ac:dyDescent="0.25">
      <c r="A455" s="6">
        <v>2901243</v>
      </c>
      <c r="B455" s="6" t="s">
        <v>746</v>
      </c>
      <c r="C455" s="77">
        <v>21706</v>
      </c>
    </row>
    <row r="456" spans="1:3" x14ac:dyDescent="0.25">
      <c r="A456" s="6">
        <v>2901247</v>
      </c>
      <c r="B456" s="6" t="s">
        <v>747</v>
      </c>
      <c r="C456" s="77">
        <v>25458</v>
      </c>
    </row>
    <row r="457" spans="1:3" x14ac:dyDescent="0.25">
      <c r="A457" s="6">
        <v>2901248</v>
      </c>
      <c r="B457" s="6" t="s">
        <v>748</v>
      </c>
      <c r="C457" s="77">
        <v>61024</v>
      </c>
    </row>
    <row r="458" spans="1:3" x14ac:dyDescent="0.25">
      <c r="A458" s="6">
        <v>2901254</v>
      </c>
      <c r="B458" s="6" t="s">
        <v>749</v>
      </c>
      <c r="C458" s="77">
        <v>6155</v>
      </c>
    </row>
    <row r="459" spans="1:3" x14ac:dyDescent="0.25">
      <c r="A459" s="6">
        <v>2901255</v>
      </c>
      <c r="B459" s="6" t="s">
        <v>750</v>
      </c>
      <c r="C459" s="77">
        <v>2080</v>
      </c>
    </row>
    <row r="460" spans="1:3" x14ac:dyDescent="0.25">
      <c r="A460" s="6">
        <v>2901256</v>
      </c>
      <c r="B460" s="6" t="s">
        <v>751</v>
      </c>
      <c r="C460" s="77">
        <v>1126</v>
      </c>
    </row>
    <row r="461" spans="1:3" x14ac:dyDescent="0.25">
      <c r="A461" s="6">
        <v>2901257</v>
      </c>
      <c r="B461" s="6" t="s">
        <v>752</v>
      </c>
      <c r="C461" s="77">
        <v>1342</v>
      </c>
    </row>
    <row r="462" spans="1:3" x14ac:dyDescent="0.25">
      <c r="A462" s="6">
        <v>2901258</v>
      </c>
      <c r="B462" s="6" t="s">
        <v>753</v>
      </c>
      <c r="C462" s="77">
        <v>34885</v>
      </c>
    </row>
    <row r="463" spans="1:3" x14ac:dyDescent="0.25">
      <c r="A463" s="6">
        <v>2901260</v>
      </c>
      <c r="B463" s="6" t="s">
        <v>754</v>
      </c>
      <c r="C463" s="77">
        <v>39828</v>
      </c>
    </row>
    <row r="464" spans="1:3" x14ac:dyDescent="0.25">
      <c r="A464" s="6">
        <v>2901262</v>
      </c>
      <c r="B464" s="6" t="s">
        <v>755</v>
      </c>
      <c r="C464" s="77">
        <v>8945</v>
      </c>
    </row>
    <row r="465" spans="1:3" x14ac:dyDescent="0.25">
      <c r="A465" s="6">
        <v>2901263</v>
      </c>
      <c r="B465" s="6" t="s">
        <v>756</v>
      </c>
      <c r="C465" s="77">
        <v>14478</v>
      </c>
    </row>
    <row r="466" spans="1:3" x14ac:dyDescent="0.25">
      <c r="A466" s="6">
        <v>2901264</v>
      </c>
      <c r="B466" s="6" t="s">
        <v>757</v>
      </c>
      <c r="C466" s="77">
        <v>130923</v>
      </c>
    </row>
    <row r="467" spans="1:3" x14ac:dyDescent="0.25">
      <c r="A467" s="6">
        <v>2901265</v>
      </c>
      <c r="B467" s="6" t="s">
        <v>758</v>
      </c>
      <c r="C467" s="77">
        <v>151331</v>
      </c>
    </row>
    <row r="468" spans="1:3" x14ac:dyDescent="0.25">
      <c r="A468" s="6">
        <v>2901266</v>
      </c>
      <c r="B468" s="6" t="s">
        <v>759</v>
      </c>
      <c r="C468" s="77">
        <v>151331</v>
      </c>
    </row>
    <row r="469" spans="1:3" x14ac:dyDescent="0.25">
      <c r="A469" s="6">
        <v>2901267</v>
      </c>
      <c r="B469" s="6" t="s">
        <v>760</v>
      </c>
      <c r="C469" s="77">
        <v>171075</v>
      </c>
    </row>
    <row r="470" spans="1:3" x14ac:dyDescent="0.25">
      <c r="A470" s="6">
        <v>2901268</v>
      </c>
      <c r="B470" s="6" t="s">
        <v>761</v>
      </c>
      <c r="C470" s="77">
        <v>171075</v>
      </c>
    </row>
    <row r="471" spans="1:3" x14ac:dyDescent="0.25">
      <c r="A471" s="6">
        <v>2901269</v>
      </c>
      <c r="B471" s="6" t="s">
        <v>762</v>
      </c>
      <c r="C471" s="77">
        <v>130923</v>
      </c>
    </row>
    <row r="472" spans="1:3" x14ac:dyDescent="0.25">
      <c r="A472" s="6">
        <v>2901270</v>
      </c>
      <c r="B472" s="6" t="s">
        <v>763</v>
      </c>
      <c r="C472" s="77">
        <v>151331</v>
      </c>
    </row>
    <row r="473" spans="1:3" x14ac:dyDescent="0.25">
      <c r="A473" s="6">
        <v>2901271</v>
      </c>
      <c r="B473" s="6" t="s">
        <v>764</v>
      </c>
      <c r="C473" s="77">
        <v>151331</v>
      </c>
    </row>
    <row r="474" spans="1:3" x14ac:dyDescent="0.25">
      <c r="A474" s="6">
        <v>2901272</v>
      </c>
      <c r="B474" s="6" t="s">
        <v>765</v>
      </c>
      <c r="C474" s="77">
        <v>171075</v>
      </c>
    </row>
    <row r="475" spans="1:3" x14ac:dyDescent="0.25">
      <c r="A475" s="6">
        <v>2901273</v>
      </c>
      <c r="B475" s="6" t="s">
        <v>766</v>
      </c>
      <c r="C475" s="77">
        <v>171075</v>
      </c>
    </row>
    <row r="476" spans="1:3" x14ac:dyDescent="0.25">
      <c r="A476" s="6">
        <v>2901278</v>
      </c>
      <c r="B476" s="6" t="s">
        <v>767</v>
      </c>
      <c r="C476" s="77">
        <v>7801</v>
      </c>
    </row>
    <row r="477" spans="1:3" x14ac:dyDescent="0.25">
      <c r="A477" s="6">
        <v>2901280</v>
      </c>
      <c r="B477" s="6" t="s">
        <v>768</v>
      </c>
      <c r="C477" s="77">
        <v>12127</v>
      </c>
    </row>
    <row r="478" spans="1:3" x14ac:dyDescent="0.25">
      <c r="A478" s="6">
        <v>2901281</v>
      </c>
      <c r="B478" s="6" t="s">
        <v>769</v>
      </c>
      <c r="C478" s="77">
        <v>11310</v>
      </c>
    </row>
    <row r="479" spans="1:3" x14ac:dyDescent="0.25">
      <c r="A479" s="6">
        <v>2901283</v>
      </c>
      <c r="B479" s="6" t="s">
        <v>770</v>
      </c>
      <c r="C479" s="77">
        <v>24720</v>
      </c>
    </row>
    <row r="480" spans="1:3" x14ac:dyDescent="0.25">
      <c r="A480" s="6">
        <v>2901286</v>
      </c>
      <c r="B480" s="6" t="s">
        <v>771</v>
      </c>
      <c r="C480" s="77">
        <v>5935</v>
      </c>
    </row>
    <row r="481" spans="1:3" x14ac:dyDescent="0.25">
      <c r="A481" s="6">
        <v>2901291</v>
      </c>
      <c r="B481" s="6" t="s">
        <v>772</v>
      </c>
      <c r="C481" s="77">
        <v>5606</v>
      </c>
    </row>
    <row r="482" spans="1:3" x14ac:dyDescent="0.25">
      <c r="A482" s="6">
        <v>2901292</v>
      </c>
      <c r="B482" s="6" t="s">
        <v>773</v>
      </c>
      <c r="C482" s="77">
        <v>9122</v>
      </c>
    </row>
    <row r="483" spans="1:3" x14ac:dyDescent="0.25">
      <c r="A483" s="6">
        <v>2901295</v>
      </c>
      <c r="B483" s="6" t="s">
        <v>774</v>
      </c>
      <c r="C483" s="77">
        <v>78919</v>
      </c>
    </row>
    <row r="484" spans="1:3" x14ac:dyDescent="0.25">
      <c r="A484" s="6">
        <v>2901297</v>
      </c>
      <c r="B484" s="6" t="s">
        <v>775</v>
      </c>
      <c r="C484" s="77">
        <v>96661</v>
      </c>
    </row>
    <row r="485" spans="1:3" x14ac:dyDescent="0.25">
      <c r="A485" s="6">
        <v>2901299</v>
      </c>
      <c r="B485" s="6" t="s">
        <v>776</v>
      </c>
      <c r="C485" s="77">
        <v>96661</v>
      </c>
    </row>
    <row r="486" spans="1:3" x14ac:dyDescent="0.25">
      <c r="A486" s="6">
        <v>2901301</v>
      </c>
      <c r="B486" s="6" t="s">
        <v>777</v>
      </c>
      <c r="C486" s="77">
        <v>112085</v>
      </c>
    </row>
    <row r="487" spans="1:3" x14ac:dyDescent="0.25">
      <c r="A487" s="6">
        <v>2901303</v>
      </c>
      <c r="B487" s="6" t="s">
        <v>778</v>
      </c>
      <c r="C487" s="77">
        <v>112085</v>
      </c>
    </row>
    <row r="488" spans="1:3" x14ac:dyDescent="0.25">
      <c r="A488" s="6">
        <v>2901309</v>
      </c>
      <c r="B488" s="6" t="s">
        <v>779</v>
      </c>
      <c r="C488" s="77">
        <v>78919</v>
      </c>
    </row>
    <row r="489" spans="1:3" x14ac:dyDescent="0.25">
      <c r="A489" s="6">
        <v>2901311</v>
      </c>
      <c r="B489" s="6" t="s">
        <v>780</v>
      </c>
      <c r="C489" s="77">
        <v>96661</v>
      </c>
    </row>
    <row r="490" spans="1:3" x14ac:dyDescent="0.25">
      <c r="A490" s="6">
        <v>2901313</v>
      </c>
      <c r="B490" s="6" t="s">
        <v>781</v>
      </c>
      <c r="C490" s="77">
        <v>96661</v>
      </c>
    </row>
    <row r="491" spans="1:3" x14ac:dyDescent="0.25">
      <c r="A491" s="6">
        <v>2901315</v>
      </c>
      <c r="B491" s="6" t="s">
        <v>782</v>
      </c>
      <c r="C491" s="77">
        <v>112085</v>
      </c>
    </row>
    <row r="492" spans="1:3" x14ac:dyDescent="0.25">
      <c r="A492" s="6">
        <v>2901317</v>
      </c>
      <c r="B492" s="6" t="s">
        <v>783</v>
      </c>
      <c r="C492" s="77">
        <v>112085</v>
      </c>
    </row>
    <row r="493" spans="1:3" x14ac:dyDescent="0.25">
      <c r="A493" s="6">
        <v>2901322</v>
      </c>
      <c r="B493" s="6" t="s">
        <v>784</v>
      </c>
      <c r="C493" s="77">
        <v>2858</v>
      </c>
    </row>
    <row r="494" spans="1:3" x14ac:dyDescent="0.25">
      <c r="A494" s="6">
        <v>2901323</v>
      </c>
      <c r="B494" s="6" t="s">
        <v>785</v>
      </c>
      <c r="C494" s="77">
        <v>3696</v>
      </c>
    </row>
    <row r="495" spans="1:3" x14ac:dyDescent="0.25">
      <c r="A495" s="6">
        <v>2901324</v>
      </c>
      <c r="B495" s="6" t="s">
        <v>786</v>
      </c>
      <c r="C495" s="77">
        <v>2701</v>
      </c>
    </row>
    <row r="496" spans="1:3" x14ac:dyDescent="0.25">
      <c r="A496" s="6">
        <v>2901326</v>
      </c>
      <c r="B496" s="6" t="s">
        <v>787</v>
      </c>
      <c r="C496" s="77">
        <v>1207</v>
      </c>
    </row>
    <row r="497" spans="1:3" x14ac:dyDescent="0.25">
      <c r="A497" s="6">
        <v>2901327</v>
      </c>
      <c r="B497" s="6" t="s">
        <v>788</v>
      </c>
      <c r="C497" s="77">
        <v>10124</v>
      </c>
    </row>
    <row r="498" spans="1:3" x14ac:dyDescent="0.25">
      <c r="A498" s="6">
        <v>2901328</v>
      </c>
      <c r="B498" s="6" t="s">
        <v>789</v>
      </c>
      <c r="C498" s="77">
        <v>10124</v>
      </c>
    </row>
    <row r="499" spans="1:3" x14ac:dyDescent="0.25">
      <c r="A499" s="6">
        <v>2901329</v>
      </c>
      <c r="B499" s="6" t="s">
        <v>790</v>
      </c>
      <c r="C499" s="77">
        <v>6462</v>
      </c>
    </row>
    <row r="500" spans="1:3" x14ac:dyDescent="0.25">
      <c r="A500" s="6">
        <v>2901330</v>
      </c>
      <c r="B500" s="6" t="s">
        <v>791</v>
      </c>
      <c r="C500" s="77">
        <v>6404</v>
      </c>
    </row>
    <row r="501" spans="1:3" x14ac:dyDescent="0.25">
      <c r="A501" s="6">
        <v>2901331</v>
      </c>
      <c r="B501" s="6" t="s">
        <v>792</v>
      </c>
      <c r="C501" s="77">
        <v>7839</v>
      </c>
    </row>
    <row r="502" spans="1:3" x14ac:dyDescent="0.25">
      <c r="A502" s="6">
        <v>2901332</v>
      </c>
      <c r="B502" s="6" t="s">
        <v>793</v>
      </c>
      <c r="C502" s="77">
        <v>6031</v>
      </c>
    </row>
    <row r="503" spans="1:3" x14ac:dyDescent="0.25">
      <c r="A503" s="6">
        <v>2901333</v>
      </c>
      <c r="B503" s="6" t="s">
        <v>794</v>
      </c>
      <c r="C503" s="77">
        <v>1352</v>
      </c>
    </row>
    <row r="504" spans="1:3" x14ac:dyDescent="0.25">
      <c r="A504" s="6">
        <v>2901338</v>
      </c>
      <c r="B504" s="6" t="s">
        <v>795</v>
      </c>
      <c r="C504" s="77">
        <v>2430</v>
      </c>
    </row>
    <row r="505" spans="1:3" x14ac:dyDescent="0.25">
      <c r="A505" s="6">
        <v>2901339</v>
      </c>
      <c r="B505" s="6" t="s">
        <v>796</v>
      </c>
      <c r="C505" s="77">
        <v>4603</v>
      </c>
    </row>
    <row r="506" spans="1:3" x14ac:dyDescent="0.25">
      <c r="A506" s="6">
        <v>2901340</v>
      </c>
      <c r="B506" s="6" t="s">
        <v>797</v>
      </c>
      <c r="C506" s="77">
        <v>13730</v>
      </c>
    </row>
    <row r="507" spans="1:3" x14ac:dyDescent="0.25">
      <c r="A507" s="6">
        <v>2901341</v>
      </c>
      <c r="B507" s="6" t="s">
        <v>798</v>
      </c>
      <c r="C507" s="77">
        <v>18897</v>
      </c>
    </row>
    <row r="508" spans="1:3" x14ac:dyDescent="0.25">
      <c r="A508" s="6">
        <v>2901342</v>
      </c>
      <c r="B508" s="6" t="s">
        <v>799</v>
      </c>
      <c r="C508" s="77">
        <v>3964</v>
      </c>
    </row>
    <row r="509" spans="1:3" x14ac:dyDescent="0.25">
      <c r="A509" s="6">
        <v>2901343</v>
      </c>
      <c r="B509" s="6" t="s">
        <v>800</v>
      </c>
      <c r="C509" s="77">
        <v>6226</v>
      </c>
    </row>
    <row r="510" spans="1:3" x14ac:dyDescent="0.25">
      <c r="A510" s="6">
        <v>2901344</v>
      </c>
      <c r="B510" s="6" t="s">
        <v>801</v>
      </c>
      <c r="C510" s="77">
        <v>7574</v>
      </c>
    </row>
    <row r="511" spans="1:3" x14ac:dyDescent="0.25">
      <c r="A511" s="6">
        <v>2901345</v>
      </c>
      <c r="B511" s="6" t="s">
        <v>802</v>
      </c>
      <c r="C511" s="77">
        <v>4149</v>
      </c>
    </row>
    <row r="512" spans="1:3" x14ac:dyDescent="0.25">
      <c r="A512" s="6">
        <v>2901357</v>
      </c>
      <c r="B512" s="6" t="s">
        <v>803</v>
      </c>
      <c r="C512" s="77">
        <v>2144</v>
      </c>
    </row>
    <row r="513" spans="1:3" x14ac:dyDescent="0.25">
      <c r="A513" s="6">
        <v>2901359</v>
      </c>
      <c r="B513" s="6" t="s">
        <v>804</v>
      </c>
      <c r="C513" s="77">
        <v>1261</v>
      </c>
    </row>
    <row r="514" spans="1:3" x14ac:dyDescent="0.25">
      <c r="A514" s="6">
        <v>2901367</v>
      </c>
      <c r="B514" s="6" t="s">
        <v>805</v>
      </c>
      <c r="C514" s="77">
        <v>5021</v>
      </c>
    </row>
    <row r="515" spans="1:3" x14ac:dyDescent="0.25">
      <c r="A515" s="6">
        <v>2901369</v>
      </c>
      <c r="B515" s="6" t="s">
        <v>806</v>
      </c>
      <c r="C515" s="77">
        <v>3954</v>
      </c>
    </row>
    <row r="516" spans="1:3" x14ac:dyDescent="0.25">
      <c r="A516" s="6">
        <v>2901375</v>
      </c>
      <c r="B516" s="6" t="s">
        <v>807</v>
      </c>
      <c r="C516" s="77">
        <v>3794</v>
      </c>
    </row>
    <row r="517" spans="1:3" x14ac:dyDescent="0.25">
      <c r="A517" s="6">
        <v>2901377</v>
      </c>
      <c r="B517" s="6" t="s">
        <v>808</v>
      </c>
      <c r="C517" s="77">
        <v>3037</v>
      </c>
    </row>
    <row r="518" spans="1:3" x14ac:dyDescent="0.25">
      <c r="A518" s="6">
        <v>2901388</v>
      </c>
      <c r="B518" s="6" t="s">
        <v>809</v>
      </c>
      <c r="C518" s="77">
        <v>514</v>
      </c>
    </row>
    <row r="519" spans="1:3" x14ac:dyDescent="0.25">
      <c r="A519" s="6">
        <v>2901390</v>
      </c>
      <c r="B519" s="6" t="s">
        <v>810</v>
      </c>
      <c r="C519" s="77">
        <v>376</v>
      </c>
    </row>
    <row r="520" spans="1:3" x14ac:dyDescent="0.25">
      <c r="A520" s="6">
        <v>2901398</v>
      </c>
      <c r="B520" s="6" t="s">
        <v>811</v>
      </c>
      <c r="C520" s="77">
        <v>8210</v>
      </c>
    </row>
    <row r="521" spans="1:3" x14ac:dyDescent="0.25">
      <c r="A521" s="6">
        <v>2901400</v>
      </c>
      <c r="B521" s="6" t="s">
        <v>812</v>
      </c>
      <c r="C521" s="77">
        <v>6283</v>
      </c>
    </row>
    <row r="522" spans="1:3" x14ac:dyDescent="0.25">
      <c r="A522" s="6">
        <v>2901405</v>
      </c>
      <c r="B522" s="6" t="s">
        <v>813</v>
      </c>
      <c r="C522" s="77">
        <v>18919</v>
      </c>
    </row>
    <row r="523" spans="1:3" x14ac:dyDescent="0.25">
      <c r="A523" s="6">
        <v>2901406</v>
      </c>
      <c r="B523" s="6" t="s">
        <v>814</v>
      </c>
      <c r="C523" s="77">
        <v>14790</v>
      </c>
    </row>
    <row r="524" spans="1:3" x14ac:dyDescent="0.25">
      <c r="A524" s="6">
        <v>2901414</v>
      </c>
      <c r="B524" s="6" t="s">
        <v>815</v>
      </c>
      <c r="C524" s="77">
        <v>30119</v>
      </c>
    </row>
    <row r="525" spans="1:3" x14ac:dyDescent="0.25">
      <c r="A525" s="6">
        <v>2901415</v>
      </c>
      <c r="B525" s="6" t="s">
        <v>816</v>
      </c>
      <c r="C525" s="77">
        <v>24039</v>
      </c>
    </row>
    <row r="526" spans="1:3" x14ac:dyDescent="0.25">
      <c r="A526" s="6">
        <v>2901425</v>
      </c>
      <c r="B526" s="6" t="s">
        <v>817</v>
      </c>
      <c r="C526" s="77">
        <v>1507</v>
      </c>
    </row>
    <row r="527" spans="1:3" x14ac:dyDescent="0.25">
      <c r="A527" s="6">
        <v>2901427</v>
      </c>
      <c r="B527" s="6" t="s">
        <v>818</v>
      </c>
      <c r="C527" s="77">
        <v>754</v>
      </c>
    </row>
    <row r="528" spans="1:3" x14ac:dyDescent="0.25">
      <c r="A528" s="6">
        <v>2901434</v>
      </c>
      <c r="B528" s="6" t="s">
        <v>819</v>
      </c>
      <c r="C528" s="77">
        <v>55608</v>
      </c>
    </row>
    <row r="529" spans="1:3" x14ac:dyDescent="0.25">
      <c r="A529" s="6">
        <v>2901435</v>
      </c>
      <c r="B529" s="6" t="s">
        <v>820</v>
      </c>
      <c r="C529" s="77">
        <v>43677</v>
      </c>
    </row>
    <row r="530" spans="1:3" x14ac:dyDescent="0.25">
      <c r="A530" s="6">
        <v>2901437</v>
      </c>
      <c r="B530" s="6" t="s">
        <v>821</v>
      </c>
      <c r="C530" s="77">
        <v>958</v>
      </c>
    </row>
    <row r="531" spans="1:3" x14ac:dyDescent="0.25">
      <c r="A531" s="6">
        <v>2901439</v>
      </c>
      <c r="B531" s="6" t="s">
        <v>822</v>
      </c>
      <c r="C531" s="77">
        <v>1254</v>
      </c>
    </row>
    <row r="532" spans="1:3" x14ac:dyDescent="0.25">
      <c r="A532" s="6">
        <v>2901441</v>
      </c>
      <c r="B532" s="6" t="s">
        <v>823</v>
      </c>
      <c r="C532" s="77">
        <v>1592</v>
      </c>
    </row>
    <row r="533" spans="1:3" x14ac:dyDescent="0.25">
      <c r="A533" s="6">
        <v>2901443</v>
      </c>
      <c r="B533" s="6" t="s">
        <v>824</v>
      </c>
      <c r="C533" s="77">
        <v>3160</v>
      </c>
    </row>
    <row r="534" spans="1:3" x14ac:dyDescent="0.25">
      <c r="A534" s="6">
        <v>2901445</v>
      </c>
      <c r="B534" s="6" t="s">
        <v>825</v>
      </c>
      <c r="C534" s="77">
        <v>65889</v>
      </c>
    </row>
    <row r="535" spans="1:3" x14ac:dyDescent="0.25">
      <c r="A535" s="6">
        <v>2901458</v>
      </c>
      <c r="B535" s="6" t="s">
        <v>826</v>
      </c>
      <c r="C535" s="77">
        <v>14622</v>
      </c>
    </row>
    <row r="536" spans="1:3" x14ac:dyDescent="0.25">
      <c r="A536" s="6">
        <v>2901459</v>
      </c>
      <c r="B536" s="6" t="s">
        <v>827</v>
      </c>
      <c r="C536" s="77">
        <v>14952</v>
      </c>
    </row>
    <row r="537" spans="1:3" x14ac:dyDescent="0.25">
      <c r="A537" s="6">
        <v>2901460</v>
      </c>
      <c r="B537" s="6" t="s">
        <v>828</v>
      </c>
      <c r="C537" s="77">
        <v>9899</v>
      </c>
    </row>
    <row r="538" spans="1:3" x14ac:dyDescent="0.25">
      <c r="A538" s="6">
        <v>2901462</v>
      </c>
      <c r="B538" s="6" t="s">
        <v>829</v>
      </c>
      <c r="C538" s="77">
        <v>20131</v>
      </c>
    </row>
    <row r="539" spans="1:3" x14ac:dyDescent="0.25">
      <c r="A539" s="6">
        <v>2901464</v>
      </c>
      <c r="B539" s="6" t="s">
        <v>830</v>
      </c>
      <c r="C539" s="77">
        <v>42039</v>
      </c>
    </row>
    <row r="540" spans="1:3" x14ac:dyDescent="0.25">
      <c r="A540" s="6">
        <v>2901466</v>
      </c>
      <c r="B540" s="6" t="s">
        <v>831</v>
      </c>
      <c r="C540" s="77">
        <v>42039</v>
      </c>
    </row>
    <row r="541" spans="1:3" x14ac:dyDescent="0.25">
      <c r="A541" s="6">
        <v>2901469</v>
      </c>
      <c r="B541" s="6" t="s">
        <v>832</v>
      </c>
      <c r="C541" s="77">
        <v>10886</v>
      </c>
    </row>
    <row r="542" spans="1:3" x14ac:dyDescent="0.25">
      <c r="A542" s="6">
        <v>2901471</v>
      </c>
      <c r="B542" s="6" t="s">
        <v>833</v>
      </c>
      <c r="C542" s="77">
        <v>12990</v>
      </c>
    </row>
    <row r="543" spans="1:3" x14ac:dyDescent="0.25">
      <c r="A543" s="6">
        <v>2901473</v>
      </c>
      <c r="B543" s="6" t="s">
        <v>834</v>
      </c>
      <c r="C543" s="77">
        <v>29471</v>
      </c>
    </row>
    <row r="544" spans="1:3" x14ac:dyDescent="0.25">
      <c r="A544" s="6">
        <v>2901476</v>
      </c>
      <c r="B544" s="6" t="s">
        <v>835</v>
      </c>
      <c r="C544" s="77">
        <v>46862</v>
      </c>
    </row>
    <row r="545" spans="1:3" x14ac:dyDescent="0.25">
      <c r="A545" s="6">
        <v>2901481</v>
      </c>
      <c r="B545" s="6" t="s">
        <v>836</v>
      </c>
      <c r="C545" s="77">
        <v>2868</v>
      </c>
    </row>
    <row r="546" spans="1:3" x14ac:dyDescent="0.25">
      <c r="A546" s="6">
        <v>2901486</v>
      </c>
      <c r="B546" s="6" t="s">
        <v>837</v>
      </c>
      <c r="C546" s="77">
        <v>9723</v>
      </c>
    </row>
    <row r="547" spans="1:3" x14ac:dyDescent="0.25">
      <c r="A547" s="6">
        <v>2901490</v>
      </c>
      <c r="B547" s="6" t="s">
        <v>838</v>
      </c>
      <c r="C547" s="77">
        <v>7407</v>
      </c>
    </row>
    <row r="548" spans="1:3" x14ac:dyDescent="0.25">
      <c r="A548" s="6">
        <v>2901498</v>
      </c>
      <c r="B548" s="6" t="s">
        <v>839</v>
      </c>
      <c r="C548" s="77">
        <v>868</v>
      </c>
    </row>
    <row r="549" spans="1:3" x14ac:dyDescent="0.25">
      <c r="A549" s="6">
        <v>2901503</v>
      </c>
      <c r="B549" s="6" t="s">
        <v>840</v>
      </c>
      <c r="C549" s="77">
        <v>15483</v>
      </c>
    </row>
    <row r="550" spans="1:3" x14ac:dyDescent="0.25">
      <c r="A550" s="6">
        <v>2901508</v>
      </c>
      <c r="B550" s="6" t="s">
        <v>841</v>
      </c>
      <c r="C550" s="77">
        <v>36724</v>
      </c>
    </row>
    <row r="551" spans="1:3" x14ac:dyDescent="0.25">
      <c r="A551" s="6">
        <v>2901513</v>
      </c>
      <c r="B551" s="6" t="s">
        <v>842</v>
      </c>
      <c r="C551" s="77">
        <v>58418</v>
      </c>
    </row>
    <row r="552" spans="1:3" x14ac:dyDescent="0.25">
      <c r="A552" s="6">
        <v>2901519</v>
      </c>
      <c r="B552" s="6" t="s">
        <v>843</v>
      </c>
      <c r="C552" s="77">
        <v>1468</v>
      </c>
    </row>
    <row r="553" spans="1:3" x14ac:dyDescent="0.25">
      <c r="A553" s="6">
        <v>2901524</v>
      </c>
      <c r="B553" s="6" t="s">
        <v>844</v>
      </c>
      <c r="C553" s="77">
        <v>127481</v>
      </c>
    </row>
    <row r="554" spans="1:3" x14ac:dyDescent="0.25">
      <c r="A554" s="6">
        <v>2901526</v>
      </c>
      <c r="B554" s="6" t="s">
        <v>845</v>
      </c>
      <c r="C554" s="77">
        <v>167608</v>
      </c>
    </row>
    <row r="555" spans="1:3" x14ac:dyDescent="0.25">
      <c r="A555" s="6">
        <v>2901530</v>
      </c>
      <c r="B555" s="6" t="s">
        <v>846</v>
      </c>
      <c r="C555" s="77">
        <v>4267</v>
      </c>
    </row>
    <row r="556" spans="1:3" x14ac:dyDescent="0.25">
      <c r="A556" s="6">
        <v>2901532</v>
      </c>
      <c r="B556" s="6" t="s">
        <v>847</v>
      </c>
      <c r="C556" s="77">
        <v>4267</v>
      </c>
    </row>
    <row r="557" spans="1:3" x14ac:dyDescent="0.25">
      <c r="A557" s="6">
        <v>2901538</v>
      </c>
      <c r="B557" s="6" t="s">
        <v>848</v>
      </c>
      <c r="C557" s="77">
        <v>2163</v>
      </c>
    </row>
    <row r="558" spans="1:3" x14ac:dyDescent="0.25">
      <c r="A558" s="6">
        <v>2901543</v>
      </c>
      <c r="B558" s="6" t="s">
        <v>849</v>
      </c>
      <c r="C558" s="77">
        <v>6630</v>
      </c>
    </row>
    <row r="559" spans="1:3" x14ac:dyDescent="0.25">
      <c r="A559" s="6">
        <v>2901545</v>
      </c>
      <c r="B559" s="6" t="s">
        <v>850</v>
      </c>
      <c r="C559" s="77">
        <v>16649</v>
      </c>
    </row>
    <row r="560" spans="1:3" x14ac:dyDescent="0.25">
      <c r="A560" s="6">
        <v>2901548</v>
      </c>
      <c r="B560" s="6" t="s">
        <v>851</v>
      </c>
      <c r="C560" s="77">
        <v>29041</v>
      </c>
    </row>
    <row r="561" spans="1:3" x14ac:dyDescent="0.25">
      <c r="A561" s="6">
        <v>2901550</v>
      </c>
      <c r="B561" s="6" t="s">
        <v>852</v>
      </c>
      <c r="C561" s="77">
        <v>29041</v>
      </c>
    </row>
    <row r="562" spans="1:3" x14ac:dyDescent="0.25">
      <c r="A562" s="6">
        <v>2901558</v>
      </c>
      <c r="B562" s="6" t="s">
        <v>853</v>
      </c>
      <c r="C562" s="77">
        <v>6030</v>
      </c>
    </row>
    <row r="563" spans="1:3" x14ac:dyDescent="0.25">
      <c r="A563" s="6">
        <v>2901561</v>
      </c>
      <c r="B563" s="6" t="s">
        <v>854</v>
      </c>
      <c r="C563" s="77">
        <v>6910</v>
      </c>
    </row>
    <row r="564" spans="1:3" x14ac:dyDescent="0.25">
      <c r="A564" s="6">
        <v>2901563</v>
      </c>
      <c r="B564" s="6" t="s">
        <v>855</v>
      </c>
      <c r="C564" s="77">
        <v>8671</v>
      </c>
    </row>
    <row r="565" spans="1:3" x14ac:dyDescent="0.25">
      <c r="A565" s="6">
        <v>2901567</v>
      </c>
      <c r="B565" s="6" t="s">
        <v>856</v>
      </c>
      <c r="C565" s="77">
        <v>18071</v>
      </c>
    </row>
    <row r="566" spans="1:3" x14ac:dyDescent="0.25">
      <c r="A566" s="6">
        <v>2901576</v>
      </c>
      <c r="B566" s="6" t="s">
        <v>857</v>
      </c>
      <c r="C566" s="77">
        <v>13176</v>
      </c>
    </row>
    <row r="567" spans="1:3" x14ac:dyDescent="0.25">
      <c r="A567" s="6">
        <v>2901577</v>
      </c>
      <c r="B567" s="6" t="s">
        <v>858</v>
      </c>
      <c r="C567" s="77">
        <v>31926</v>
      </c>
    </row>
    <row r="568" spans="1:3" x14ac:dyDescent="0.25">
      <c r="A568" s="6">
        <v>2901580</v>
      </c>
      <c r="B568" s="6" t="s">
        <v>859</v>
      </c>
      <c r="C568" s="77">
        <v>5400</v>
      </c>
    </row>
    <row r="569" spans="1:3" x14ac:dyDescent="0.25">
      <c r="A569" s="6">
        <v>2901581</v>
      </c>
      <c r="B569" s="6" t="s">
        <v>860</v>
      </c>
      <c r="C569" s="77">
        <v>9320</v>
      </c>
    </row>
    <row r="570" spans="1:3" x14ac:dyDescent="0.25">
      <c r="A570" s="6">
        <v>2901582</v>
      </c>
      <c r="B570" s="6" t="s">
        <v>861</v>
      </c>
      <c r="C570" s="77">
        <v>20814</v>
      </c>
    </row>
    <row r="571" spans="1:3" x14ac:dyDescent="0.25">
      <c r="A571" s="6">
        <v>2901583</v>
      </c>
      <c r="B571" s="6" t="s">
        <v>862</v>
      </c>
      <c r="C571" s="77">
        <v>9743</v>
      </c>
    </row>
    <row r="572" spans="1:3" x14ac:dyDescent="0.25">
      <c r="A572" s="6">
        <v>2901584</v>
      </c>
      <c r="B572" s="6" t="s">
        <v>863</v>
      </c>
      <c r="C572" s="77">
        <v>28071</v>
      </c>
    </row>
    <row r="573" spans="1:3" x14ac:dyDescent="0.25">
      <c r="A573" s="6">
        <v>2901585</v>
      </c>
      <c r="B573" s="6" t="s">
        <v>864</v>
      </c>
      <c r="C573" s="77">
        <v>12389</v>
      </c>
    </row>
    <row r="574" spans="1:3" x14ac:dyDescent="0.25">
      <c r="A574" s="6">
        <v>2901586</v>
      </c>
      <c r="B574" s="6" t="s">
        <v>865</v>
      </c>
      <c r="C574" s="77">
        <v>35342</v>
      </c>
    </row>
    <row r="575" spans="1:3" x14ac:dyDescent="0.25">
      <c r="A575" s="6">
        <v>2901587</v>
      </c>
      <c r="B575" s="6" t="s">
        <v>866</v>
      </c>
      <c r="C575" s="77">
        <v>35342</v>
      </c>
    </row>
    <row r="576" spans="1:3" x14ac:dyDescent="0.25">
      <c r="A576" s="6">
        <v>2901590</v>
      </c>
      <c r="B576" s="6" t="s">
        <v>867</v>
      </c>
      <c r="C576" s="77">
        <v>1120</v>
      </c>
    </row>
    <row r="577" spans="1:3" x14ac:dyDescent="0.25">
      <c r="A577" s="6">
        <v>2901595</v>
      </c>
      <c r="B577" s="6" t="s">
        <v>868</v>
      </c>
      <c r="C577" s="77">
        <v>330</v>
      </c>
    </row>
    <row r="578" spans="1:3" x14ac:dyDescent="0.25">
      <c r="A578" s="6">
        <v>2901603</v>
      </c>
      <c r="B578" s="6" t="s">
        <v>869</v>
      </c>
      <c r="C578" s="77">
        <v>689</v>
      </c>
    </row>
    <row r="579" spans="1:3" x14ac:dyDescent="0.25">
      <c r="A579" s="6">
        <v>2901604</v>
      </c>
      <c r="B579" s="6" t="s">
        <v>870</v>
      </c>
      <c r="C579" s="77">
        <v>8339</v>
      </c>
    </row>
    <row r="580" spans="1:3" x14ac:dyDescent="0.25">
      <c r="A580" s="6">
        <v>2901605</v>
      </c>
      <c r="B580" s="6" t="s">
        <v>871</v>
      </c>
      <c r="C580" s="77">
        <v>3613</v>
      </c>
    </row>
    <row r="581" spans="1:3" x14ac:dyDescent="0.25">
      <c r="A581" s="6">
        <v>2901606</v>
      </c>
      <c r="B581" s="6" t="s">
        <v>872</v>
      </c>
      <c r="C581" s="77">
        <v>6638</v>
      </c>
    </row>
    <row r="582" spans="1:3" x14ac:dyDescent="0.25">
      <c r="A582" s="6">
        <v>2901607</v>
      </c>
      <c r="B582" s="6" t="s">
        <v>873</v>
      </c>
      <c r="C582" s="77">
        <v>9872</v>
      </c>
    </row>
    <row r="583" spans="1:3" x14ac:dyDescent="0.25">
      <c r="A583" s="6">
        <v>2901608</v>
      </c>
      <c r="B583" s="6" t="s">
        <v>874</v>
      </c>
      <c r="C583" s="77">
        <v>20393</v>
      </c>
    </row>
    <row r="584" spans="1:3" x14ac:dyDescent="0.25">
      <c r="A584" s="6">
        <v>2901609</v>
      </c>
      <c r="B584" s="6" t="s">
        <v>875</v>
      </c>
      <c r="C584" s="77">
        <v>4599</v>
      </c>
    </row>
    <row r="585" spans="1:3" x14ac:dyDescent="0.25">
      <c r="A585" s="6">
        <v>2901616</v>
      </c>
      <c r="B585" s="6" t="s">
        <v>876</v>
      </c>
      <c r="C585" s="77">
        <v>1088</v>
      </c>
    </row>
    <row r="586" spans="1:3" x14ac:dyDescent="0.25">
      <c r="A586" s="6">
        <v>2901621</v>
      </c>
      <c r="B586" s="6" t="s">
        <v>877</v>
      </c>
      <c r="C586" s="77">
        <v>2721</v>
      </c>
    </row>
    <row r="587" spans="1:3" x14ac:dyDescent="0.25">
      <c r="A587" s="6">
        <v>2901626</v>
      </c>
      <c r="B587" s="6" t="s">
        <v>878</v>
      </c>
      <c r="C587" s="77">
        <v>1992</v>
      </c>
    </row>
    <row r="588" spans="1:3" x14ac:dyDescent="0.25">
      <c r="A588" s="6">
        <v>2901635</v>
      </c>
      <c r="B588" s="6" t="s">
        <v>879</v>
      </c>
      <c r="C588" s="77">
        <v>421</v>
      </c>
    </row>
    <row r="589" spans="1:3" x14ac:dyDescent="0.25">
      <c r="A589" s="6">
        <v>2901642</v>
      </c>
      <c r="B589" s="6" t="s">
        <v>880</v>
      </c>
      <c r="C589" s="77">
        <v>4458</v>
      </c>
    </row>
    <row r="590" spans="1:3" x14ac:dyDescent="0.25">
      <c r="A590" s="6">
        <v>2901647</v>
      </c>
      <c r="B590" s="6" t="s">
        <v>881</v>
      </c>
      <c r="C590" s="77">
        <v>17637</v>
      </c>
    </row>
    <row r="591" spans="1:3" x14ac:dyDescent="0.25">
      <c r="A591" s="6">
        <v>2901654</v>
      </c>
      <c r="B591" s="6" t="s">
        <v>882</v>
      </c>
      <c r="C591" s="77">
        <v>21848</v>
      </c>
    </row>
    <row r="592" spans="1:3" x14ac:dyDescent="0.25">
      <c r="A592" s="6">
        <v>2901661</v>
      </c>
      <c r="B592" s="6" t="s">
        <v>883</v>
      </c>
      <c r="C592" s="77">
        <v>664</v>
      </c>
    </row>
    <row r="593" spans="1:3" x14ac:dyDescent="0.25">
      <c r="A593" s="6">
        <v>2901667</v>
      </c>
      <c r="B593" s="6" t="s">
        <v>884</v>
      </c>
      <c r="C593" s="77">
        <v>47462</v>
      </c>
    </row>
    <row r="594" spans="1:3" x14ac:dyDescent="0.25">
      <c r="A594" s="6">
        <v>2901672</v>
      </c>
      <c r="B594" s="6" t="s">
        <v>885</v>
      </c>
      <c r="C594" s="77">
        <v>9810</v>
      </c>
    </row>
    <row r="595" spans="1:3" x14ac:dyDescent="0.25">
      <c r="A595" s="6">
        <v>2901679</v>
      </c>
      <c r="B595" s="6" t="s">
        <v>886</v>
      </c>
      <c r="C595" s="77">
        <v>3660</v>
      </c>
    </row>
    <row r="596" spans="1:3" x14ac:dyDescent="0.25">
      <c r="A596" s="6">
        <v>2901685</v>
      </c>
      <c r="B596" s="6" t="s">
        <v>887</v>
      </c>
      <c r="C596" s="77">
        <v>6490</v>
      </c>
    </row>
    <row r="597" spans="1:3" x14ac:dyDescent="0.25">
      <c r="A597" s="6">
        <v>2901688</v>
      </c>
      <c r="B597" s="6" t="s">
        <v>888</v>
      </c>
      <c r="C597" s="77">
        <v>39990</v>
      </c>
    </row>
    <row r="598" spans="1:3" x14ac:dyDescent="0.25">
      <c r="A598" s="6">
        <v>2901690</v>
      </c>
      <c r="B598" s="6" t="s">
        <v>889</v>
      </c>
      <c r="C598" s="77">
        <v>2386</v>
      </c>
    </row>
    <row r="599" spans="1:3" x14ac:dyDescent="0.25">
      <c r="A599" s="6">
        <v>2901693</v>
      </c>
      <c r="B599" s="6" t="s">
        <v>890</v>
      </c>
      <c r="C599" s="77">
        <v>2732</v>
      </c>
    </row>
    <row r="600" spans="1:3" x14ac:dyDescent="0.25">
      <c r="A600" s="6">
        <v>2901696</v>
      </c>
      <c r="B600" s="6" t="s">
        <v>891</v>
      </c>
      <c r="C600" s="77">
        <v>3944</v>
      </c>
    </row>
    <row r="601" spans="1:3" x14ac:dyDescent="0.25">
      <c r="A601" s="6">
        <v>2901700</v>
      </c>
      <c r="B601" s="6" t="s">
        <v>892</v>
      </c>
      <c r="C601" s="77">
        <v>7949</v>
      </c>
    </row>
    <row r="602" spans="1:3" x14ac:dyDescent="0.25">
      <c r="A602" s="6">
        <v>2901703</v>
      </c>
      <c r="B602" s="6" t="s">
        <v>893</v>
      </c>
      <c r="C602" s="77">
        <v>34529</v>
      </c>
    </row>
    <row r="603" spans="1:3" x14ac:dyDescent="0.25">
      <c r="A603" s="6">
        <v>2901709</v>
      </c>
      <c r="B603" s="6" t="s">
        <v>894</v>
      </c>
      <c r="C603" s="77">
        <v>90008</v>
      </c>
    </row>
    <row r="604" spans="1:3" x14ac:dyDescent="0.25">
      <c r="A604" s="6">
        <v>2901716</v>
      </c>
      <c r="B604" s="6" t="s">
        <v>895</v>
      </c>
      <c r="C604" s="77">
        <v>125158</v>
      </c>
    </row>
    <row r="605" spans="1:3" x14ac:dyDescent="0.25">
      <c r="A605" s="6">
        <v>2901721</v>
      </c>
      <c r="B605" s="6" t="s">
        <v>896</v>
      </c>
      <c r="C605" s="77">
        <v>25641</v>
      </c>
    </row>
    <row r="606" spans="1:3" x14ac:dyDescent="0.25">
      <c r="A606" s="6">
        <v>2901724</v>
      </c>
      <c r="B606" s="6" t="s">
        <v>897</v>
      </c>
      <c r="C606" s="77">
        <v>31565</v>
      </c>
    </row>
    <row r="607" spans="1:3" x14ac:dyDescent="0.25">
      <c r="A607" s="6">
        <v>2901726</v>
      </c>
      <c r="B607" s="6" t="s">
        <v>898</v>
      </c>
      <c r="C607" s="77">
        <v>39564</v>
      </c>
    </row>
    <row r="608" spans="1:3" x14ac:dyDescent="0.25">
      <c r="A608" s="6">
        <v>2901729</v>
      </c>
      <c r="B608" s="6" t="s">
        <v>899</v>
      </c>
      <c r="C608" s="77">
        <v>12430</v>
      </c>
    </row>
    <row r="609" spans="1:3" x14ac:dyDescent="0.25">
      <c r="A609" s="6">
        <v>2901731</v>
      </c>
      <c r="B609" s="6" t="s">
        <v>900</v>
      </c>
      <c r="C609" s="77">
        <v>30428</v>
      </c>
    </row>
    <row r="610" spans="1:3" x14ac:dyDescent="0.25">
      <c r="A610" s="6">
        <v>2901734</v>
      </c>
      <c r="B610" s="6" t="s">
        <v>901</v>
      </c>
      <c r="C610" s="77">
        <v>48955</v>
      </c>
    </row>
    <row r="611" spans="1:3" x14ac:dyDescent="0.25">
      <c r="A611" s="6">
        <v>2901738</v>
      </c>
      <c r="B611" s="6" t="s">
        <v>902</v>
      </c>
      <c r="C611" s="77">
        <v>15077</v>
      </c>
    </row>
    <row r="612" spans="1:3" x14ac:dyDescent="0.25">
      <c r="A612" s="6">
        <v>2901741</v>
      </c>
      <c r="B612" s="6" t="s">
        <v>903</v>
      </c>
      <c r="C612" s="77">
        <v>23842</v>
      </c>
    </row>
    <row r="613" spans="1:3" x14ac:dyDescent="0.25">
      <c r="A613" s="6">
        <v>2901743</v>
      </c>
      <c r="B613" s="6" t="s">
        <v>904</v>
      </c>
      <c r="C613" s="77">
        <v>23842</v>
      </c>
    </row>
    <row r="614" spans="1:3" x14ac:dyDescent="0.25">
      <c r="A614" s="6">
        <v>2901748</v>
      </c>
      <c r="B614" s="6" t="s">
        <v>905</v>
      </c>
      <c r="C614" s="77">
        <v>7771</v>
      </c>
    </row>
    <row r="615" spans="1:3" x14ac:dyDescent="0.25">
      <c r="A615" s="6">
        <v>2901751</v>
      </c>
      <c r="B615" s="6" t="s">
        <v>906</v>
      </c>
      <c r="C615" s="77">
        <v>15962</v>
      </c>
    </row>
    <row r="616" spans="1:3" x14ac:dyDescent="0.25">
      <c r="A616" s="6">
        <v>2901755</v>
      </c>
      <c r="B616" s="6" t="s">
        <v>907</v>
      </c>
      <c r="C616" s="77">
        <v>27775</v>
      </c>
    </row>
    <row r="617" spans="1:3" x14ac:dyDescent="0.25">
      <c r="A617" s="6">
        <v>2901758</v>
      </c>
      <c r="B617" s="6" t="s">
        <v>908</v>
      </c>
      <c r="C617" s="77">
        <v>131417</v>
      </c>
    </row>
    <row r="618" spans="1:3" x14ac:dyDescent="0.25">
      <c r="A618" s="6">
        <v>2901785</v>
      </c>
      <c r="B618" s="6" t="s">
        <v>909</v>
      </c>
      <c r="C618" s="77">
        <v>171075</v>
      </c>
    </row>
    <row r="619" spans="1:3" x14ac:dyDescent="0.25">
      <c r="A619" s="6">
        <v>2901790</v>
      </c>
      <c r="B619" s="6" t="s">
        <v>910</v>
      </c>
      <c r="C619" s="77">
        <v>221917</v>
      </c>
    </row>
    <row r="620" spans="1:3" x14ac:dyDescent="0.25">
      <c r="A620" s="6">
        <v>2901791</v>
      </c>
      <c r="B620" s="6" t="s">
        <v>911</v>
      </c>
      <c r="C620" s="77">
        <v>1636</v>
      </c>
    </row>
    <row r="621" spans="1:3" x14ac:dyDescent="0.25">
      <c r="A621" s="6">
        <v>2901792</v>
      </c>
      <c r="B621" s="6" t="s">
        <v>912</v>
      </c>
      <c r="C621" s="77">
        <v>756</v>
      </c>
    </row>
    <row r="622" spans="1:3" x14ac:dyDescent="0.25">
      <c r="A622" s="6">
        <v>2901793</v>
      </c>
      <c r="B622" s="6" t="s">
        <v>913</v>
      </c>
      <c r="C622" s="77">
        <v>405</v>
      </c>
    </row>
    <row r="623" spans="1:3" x14ac:dyDescent="0.25">
      <c r="A623" s="6">
        <v>2901794</v>
      </c>
      <c r="B623" s="6" t="s">
        <v>914</v>
      </c>
      <c r="C623" s="77">
        <v>151331</v>
      </c>
    </row>
    <row r="624" spans="1:3" x14ac:dyDescent="0.25">
      <c r="A624" s="6">
        <v>2901800</v>
      </c>
      <c r="B624" s="6" t="s">
        <v>915</v>
      </c>
      <c r="C624" s="77">
        <v>38851</v>
      </c>
    </row>
    <row r="625" spans="1:3" x14ac:dyDescent="0.25">
      <c r="A625" s="6">
        <v>2901801</v>
      </c>
      <c r="B625" s="6" t="s">
        <v>916</v>
      </c>
      <c r="C625" s="77">
        <v>17708</v>
      </c>
    </row>
    <row r="626" spans="1:3" x14ac:dyDescent="0.25">
      <c r="A626" s="6">
        <v>2901802</v>
      </c>
      <c r="B626" s="6" t="s">
        <v>917</v>
      </c>
      <c r="C626" s="77">
        <v>30393</v>
      </c>
    </row>
    <row r="627" spans="1:3" x14ac:dyDescent="0.25">
      <c r="A627" s="6">
        <v>2901808</v>
      </c>
      <c r="B627" s="6" t="s">
        <v>918</v>
      </c>
      <c r="C627" s="77">
        <v>1968</v>
      </c>
    </row>
    <row r="628" spans="1:3" x14ac:dyDescent="0.25">
      <c r="A628" s="6">
        <v>2901816</v>
      </c>
      <c r="B628" s="6" t="s">
        <v>919</v>
      </c>
      <c r="C628" s="77">
        <v>8267</v>
      </c>
    </row>
    <row r="629" spans="1:3" x14ac:dyDescent="0.25">
      <c r="A629" s="6">
        <v>2901828</v>
      </c>
      <c r="B629" s="6" t="s">
        <v>920</v>
      </c>
      <c r="C629" s="77">
        <v>455</v>
      </c>
    </row>
    <row r="630" spans="1:3" x14ac:dyDescent="0.25">
      <c r="A630" s="6">
        <v>2901829</v>
      </c>
      <c r="B630" s="6" t="s">
        <v>921</v>
      </c>
      <c r="C630" s="77">
        <v>660</v>
      </c>
    </row>
    <row r="631" spans="1:3" x14ac:dyDescent="0.25">
      <c r="A631" s="6">
        <v>2901830</v>
      </c>
      <c r="B631" s="6" t="s">
        <v>922</v>
      </c>
      <c r="C631" s="77">
        <v>514</v>
      </c>
    </row>
    <row r="632" spans="1:3" x14ac:dyDescent="0.25">
      <c r="A632" s="6">
        <v>2901831</v>
      </c>
      <c r="B632" s="6" t="s">
        <v>923</v>
      </c>
      <c r="C632" s="77">
        <v>370</v>
      </c>
    </row>
    <row r="633" spans="1:3" x14ac:dyDescent="0.25">
      <c r="A633" s="6">
        <v>2901832</v>
      </c>
      <c r="B633" s="6" t="s">
        <v>924</v>
      </c>
      <c r="C633" s="77">
        <v>868</v>
      </c>
    </row>
    <row r="634" spans="1:3" x14ac:dyDescent="0.25">
      <c r="A634" s="6">
        <v>2901833</v>
      </c>
      <c r="B634" s="6" t="s">
        <v>925</v>
      </c>
      <c r="C634" s="77">
        <v>423</v>
      </c>
    </row>
    <row r="635" spans="1:3" x14ac:dyDescent="0.25">
      <c r="A635" s="6">
        <v>2901834</v>
      </c>
      <c r="B635" s="6" t="s">
        <v>926</v>
      </c>
      <c r="C635" s="77">
        <v>1757</v>
      </c>
    </row>
    <row r="636" spans="1:3" x14ac:dyDescent="0.25">
      <c r="A636" s="6">
        <v>2901835</v>
      </c>
      <c r="B636" s="6" t="s">
        <v>927</v>
      </c>
      <c r="C636" s="77">
        <v>1614</v>
      </c>
    </row>
    <row r="637" spans="1:3" x14ac:dyDescent="0.25">
      <c r="A637" s="6">
        <v>2901841</v>
      </c>
      <c r="B637" s="6" t="s">
        <v>928</v>
      </c>
      <c r="C637" s="77">
        <v>3387</v>
      </c>
    </row>
    <row r="638" spans="1:3" x14ac:dyDescent="0.25">
      <c r="A638" s="6">
        <v>2901844</v>
      </c>
      <c r="B638" s="6" t="s">
        <v>2795</v>
      </c>
      <c r="C638" s="77">
        <v>7846</v>
      </c>
    </row>
    <row r="639" spans="1:3" x14ac:dyDescent="0.25">
      <c r="A639" s="6">
        <v>2901845</v>
      </c>
      <c r="B639" s="6" t="s">
        <v>929</v>
      </c>
      <c r="C639" s="77">
        <v>66077</v>
      </c>
    </row>
    <row r="640" spans="1:3" x14ac:dyDescent="0.25">
      <c r="A640" s="6">
        <v>2901985</v>
      </c>
      <c r="B640" s="6" t="s">
        <v>930</v>
      </c>
      <c r="C640" s="77">
        <v>513</v>
      </c>
    </row>
    <row r="641" spans="1:3" x14ac:dyDescent="0.25">
      <c r="A641" s="6">
        <v>2901990</v>
      </c>
      <c r="B641" s="6" t="s">
        <v>931</v>
      </c>
      <c r="C641" s="77">
        <v>1718</v>
      </c>
    </row>
    <row r="642" spans="1:3" x14ac:dyDescent="0.25">
      <c r="A642" s="6">
        <v>2902002</v>
      </c>
      <c r="B642" s="6" t="s">
        <v>932</v>
      </c>
      <c r="C642" s="77">
        <v>5178</v>
      </c>
    </row>
    <row r="643" spans="1:3" x14ac:dyDescent="0.25">
      <c r="A643" s="6">
        <v>2902005</v>
      </c>
      <c r="B643" s="6" t="s">
        <v>933</v>
      </c>
      <c r="C643" s="77">
        <v>5178</v>
      </c>
    </row>
    <row r="644" spans="1:3" x14ac:dyDescent="0.25">
      <c r="A644" s="6">
        <v>2902007</v>
      </c>
      <c r="B644" s="6" t="s">
        <v>934</v>
      </c>
      <c r="C644" s="77">
        <v>5178</v>
      </c>
    </row>
    <row r="645" spans="1:3" x14ac:dyDescent="0.25">
      <c r="A645" s="6">
        <v>2902009</v>
      </c>
      <c r="B645" s="6" t="s">
        <v>935</v>
      </c>
      <c r="C645" s="77">
        <v>4346</v>
      </c>
    </row>
    <row r="646" spans="1:3" x14ac:dyDescent="0.25">
      <c r="A646" s="6">
        <v>2902011</v>
      </c>
      <c r="B646" s="6" t="s">
        <v>936</v>
      </c>
      <c r="C646" s="77">
        <v>4346</v>
      </c>
    </row>
    <row r="647" spans="1:3" x14ac:dyDescent="0.25">
      <c r="A647" s="6">
        <v>2902013</v>
      </c>
      <c r="B647" s="6" t="s">
        <v>937</v>
      </c>
      <c r="C647" s="77">
        <v>4346</v>
      </c>
    </row>
    <row r="648" spans="1:3" x14ac:dyDescent="0.25">
      <c r="A648" s="6">
        <v>2902015</v>
      </c>
      <c r="B648" s="6" t="s">
        <v>938</v>
      </c>
      <c r="C648" s="77">
        <v>2590</v>
      </c>
    </row>
    <row r="649" spans="1:3" x14ac:dyDescent="0.25">
      <c r="A649" s="6">
        <v>2902017</v>
      </c>
      <c r="B649" s="6" t="s">
        <v>939</v>
      </c>
      <c r="C649" s="77">
        <v>2590</v>
      </c>
    </row>
    <row r="650" spans="1:3" x14ac:dyDescent="0.25">
      <c r="A650" s="6">
        <v>2902020</v>
      </c>
      <c r="B650" s="6" t="s">
        <v>940</v>
      </c>
      <c r="C650" s="77">
        <v>8329</v>
      </c>
    </row>
    <row r="651" spans="1:3" x14ac:dyDescent="0.25">
      <c r="A651" s="6">
        <v>2902023</v>
      </c>
      <c r="B651" s="6" t="s">
        <v>941</v>
      </c>
      <c r="C651" s="77">
        <v>1486</v>
      </c>
    </row>
    <row r="652" spans="1:3" x14ac:dyDescent="0.25">
      <c r="A652" s="6">
        <v>2902040</v>
      </c>
      <c r="B652" s="6" t="s">
        <v>942</v>
      </c>
      <c r="C652" s="77">
        <v>7394</v>
      </c>
    </row>
    <row r="653" spans="1:3" x14ac:dyDescent="0.25">
      <c r="A653" s="6">
        <v>2902044</v>
      </c>
      <c r="B653" s="6" t="s">
        <v>943</v>
      </c>
      <c r="C653" s="77">
        <v>12118</v>
      </c>
    </row>
    <row r="654" spans="1:3" x14ac:dyDescent="0.25">
      <c r="A654" s="6">
        <v>2902278</v>
      </c>
      <c r="B654" s="6" t="s">
        <v>944</v>
      </c>
      <c r="C654" s="77">
        <v>447</v>
      </c>
    </row>
    <row r="655" spans="1:3" x14ac:dyDescent="0.25">
      <c r="A655" s="6">
        <v>2902281</v>
      </c>
      <c r="B655" s="6" t="s">
        <v>945</v>
      </c>
      <c r="C655" s="77">
        <v>767</v>
      </c>
    </row>
    <row r="656" spans="1:3" x14ac:dyDescent="0.25">
      <c r="A656" s="6">
        <v>2902284</v>
      </c>
      <c r="B656" s="6" t="s">
        <v>946</v>
      </c>
      <c r="C656" s="77">
        <v>480</v>
      </c>
    </row>
    <row r="657" spans="1:3" x14ac:dyDescent="0.25">
      <c r="A657" s="6">
        <v>2902286</v>
      </c>
      <c r="B657" s="6" t="s">
        <v>947</v>
      </c>
      <c r="C657" s="77">
        <v>139</v>
      </c>
    </row>
    <row r="658" spans="1:3" x14ac:dyDescent="0.25">
      <c r="A658" s="6">
        <v>2902288</v>
      </c>
      <c r="B658" s="6" t="s">
        <v>948</v>
      </c>
      <c r="C658" s="77">
        <v>1009</v>
      </c>
    </row>
    <row r="659" spans="1:3" x14ac:dyDescent="0.25">
      <c r="A659" s="6">
        <v>2902290</v>
      </c>
      <c r="B659" s="6" t="s">
        <v>949</v>
      </c>
      <c r="C659" s="77">
        <v>172</v>
      </c>
    </row>
    <row r="660" spans="1:3" x14ac:dyDescent="0.25">
      <c r="A660" s="6">
        <v>2902411</v>
      </c>
      <c r="B660" s="6" t="s">
        <v>950</v>
      </c>
      <c r="C660" s="77">
        <v>1483386</v>
      </c>
    </row>
    <row r="661" spans="1:3" x14ac:dyDescent="0.25">
      <c r="A661" s="6">
        <v>2902413</v>
      </c>
      <c r="B661" s="6" t="s">
        <v>2796</v>
      </c>
      <c r="C661" s="77">
        <v>1206510</v>
      </c>
    </row>
    <row r="662" spans="1:3" x14ac:dyDescent="0.25">
      <c r="A662" s="6">
        <v>2902415</v>
      </c>
      <c r="B662" s="6" t="s">
        <v>951</v>
      </c>
      <c r="C662" s="77">
        <v>988763</v>
      </c>
    </row>
    <row r="663" spans="1:3" x14ac:dyDescent="0.25">
      <c r="A663" s="6">
        <v>2902417</v>
      </c>
      <c r="B663" s="6" t="s">
        <v>952</v>
      </c>
      <c r="C663" s="77">
        <v>791447</v>
      </c>
    </row>
    <row r="664" spans="1:3" x14ac:dyDescent="0.25">
      <c r="A664" s="6">
        <v>2902419</v>
      </c>
      <c r="B664" s="6" t="s">
        <v>953</v>
      </c>
      <c r="C664" s="77">
        <v>647445</v>
      </c>
    </row>
    <row r="665" spans="1:3" x14ac:dyDescent="0.25">
      <c r="A665" s="6">
        <v>2902421</v>
      </c>
      <c r="B665" s="6" t="s">
        <v>954</v>
      </c>
      <c r="C665" s="77">
        <v>2075542</v>
      </c>
    </row>
    <row r="666" spans="1:3" x14ac:dyDescent="0.25">
      <c r="A666" s="6">
        <v>2902423</v>
      </c>
      <c r="B666" s="6" t="s">
        <v>955</v>
      </c>
      <c r="C666" s="77">
        <v>1700765</v>
      </c>
    </row>
    <row r="667" spans="1:3" x14ac:dyDescent="0.25">
      <c r="A667" s="6">
        <v>2902425</v>
      </c>
      <c r="B667" s="6" t="s">
        <v>2797</v>
      </c>
      <c r="C667" s="77">
        <v>1392910</v>
      </c>
    </row>
    <row r="668" spans="1:3" x14ac:dyDescent="0.25">
      <c r="A668" s="6">
        <v>2902427</v>
      </c>
      <c r="B668" s="6" t="s">
        <v>956</v>
      </c>
      <c r="C668" s="77">
        <v>1100871</v>
      </c>
    </row>
    <row r="669" spans="1:3" x14ac:dyDescent="0.25">
      <c r="A669" s="6">
        <v>2902429</v>
      </c>
      <c r="B669" s="6" t="s">
        <v>957</v>
      </c>
      <c r="C669" s="77">
        <v>915923</v>
      </c>
    </row>
    <row r="670" spans="1:3" x14ac:dyDescent="0.25">
      <c r="A670" s="6">
        <v>2902431</v>
      </c>
      <c r="B670" s="6" t="s">
        <v>958</v>
      </c>
      <c r="C670" s="77">
        <v>2573925</v>
      </c>
    </row>
    <row r="671" spans="1:3" x14ac:dyDescent="0.25">
      <c r="A671" s="6">
        <v>2902432</v>
      </c>
      <c r="B671" s="6" t="s">
        <v>959</v>
      </c>
      <c r="C671" s="77">
        <v>2116183</v>
      </c>
    </row>
    <row r="672" spans="1:3" x14ac:dyDescent="0.25">
      <c r="A672" s="6">
        <v>2902433</v>
      </c>
      <c r="B672" s="6" t="s">
        <v>960</v>
      </c>
      <c r="C672" s="77">
        <v>1724493</v>
      </c>
    </row>
    <row r="673" spans="1:3" x14ac:dyDescent="0.25">
      <c r="A673" s="6">
        <v>2902434</v>
      </c>
      <c r="B673" s="6" t="s">
        <v>961</v>
      </c>
      <c r="C673" s="77">
        <v>1415525</v>
      </c>
    </row>
    <row r="674" spans="1:3" x14ac:dyDescent="0.25">
      <c r="A674" s="6">
        <v>2902435</v>
      </c>
      <c r="B674" s="6" t="s">
        <v>2798</v>
      </c>
      <c r="C674" s="77">
        <v>3378315</v>
      </c>
    </row>
    <row r="675" spans="1:3" x14ac:dyDescent="0.25">
      <c r="A675" s="6">
        <v>2902436</v>
      </c>
      <c r="B675" s="6" t="s">
        <v>962</v>
      </c>
      <c r="C675" s="77">
        <v>2807728</v>
      </c>
    </row>
    <row r="676" spans="1:3" x14ac:dyDescent="0.25">
      <c r="A676" s="6">
        <v>2902437</v>
      </c>
      <c r="B676" s="6" t="s">
        <v>963</v>
      </c>
      <c r="C676" s="77">
        <v>2293416</v>
      </c>
    </row>
    <row r="677" spans="1:3" x14ac:dyDescent="0.25">
      <c r="A677" s="6">
        <v>2902438</v>
      </c>
      <c r="B677" s="6" t="s">
        <v>964</v>
      </c>
      <c r="C677" s="77">
        <v>1905548</v>
      </c>
    </row>
    <row r="678" spans="1:3" x14ac:dyDescent="0.25">
      <c r="A678" s="6">
        <v>2902439</v>
      </c>
      <c r="B678" s="6" t="s">
        <v>2799</v>
      </c>
      <c r="C678" s="77">
        <v>4336010</v>
      </c>
    </row>
    <row r="679" spans="1:3" x14ac:dyDescent="0.25">
      <c r="A679" s="6">
        <v>2902440</v>
      </c>
      <c r="B679" s="6" t="s">
        <v>965</v>
      </c>
      <c r="C679" s="77">
        <v>3598925</v>
      </c>
    </row>
    <row r="680" spans="1:3" x14ac:dyDescent="0.25">
      <c r="A680" s="6">
        <v>2902441</v>
      </c>
      <c r="B680" s="6" t="s">
        <v>966</v>
      </c>
      <c r="C680" s="77">
        <v>2907838</v>
      </c>
    </row>
    <row r="681" spans="1:3" x14ac:dyDescent="0.25">
      <c r="A681" s="6">
        <v>2902442</v>
      </c>
      <c r="B681" s="6" t="s">
        <v>967</v>
      </c>
      <c r="C681" s="77">
        <v>2434802</v>
      </c>
    </row>
    <row r="682" spans="1:3" x14ac:dyDescent="0.25">
      <c r="A682" s="6">
        <v>2902443</v>
      </c>
      <c r="B682" s="6" t="s">
        <v>2800</v>
      </c>
      <c r="C682" s="77">
        <v>5400994</v>
      </c>
    </row>
    <row r="683" spans="1:3" x14ac:dyDescent="0.25">
      <c r="A683" s="6">
        <v>2902444</v>
      </c>
      <c r="B683" s="6" t="s">
        <v>968</v>
      </c>
      <c r="C683" s="77">
        <v>4636916</v>
      </c>
    </row>
    <row r="684" spans="1:3" x14ac:dyDescent="0.25">
      <c r="A684" s="6">
        <v>2902445</v>
      </c>
      <c r="B684" s="6" t="s">
        <v>969</v>
      </c>
      <c r="C684" s="77">
        <v>3145888</v>
      </c>
    </row>
    <row r="685" spans="1:3" x14ac:dyDescent="0.25">
      <c r="A685" s="6">
        <v>2902449</v>
      </c>
      <c r="B685" s="6" t="s">
        <v>970</v>
      </c>
      <c r="C685" s="77">
        <v>17023</v>
      </c>
    </row>
    <row r="686" spans="1:3" x14ac:dyDescent="0.25">
      <c r="A686" s="6">
        <v>2902450</v>
      </c>
      <c r="B686" s="6" t="s">
        <v>971</v>
      </c>
      <c r="C686" s="77">
        <v>69616</v>
      </c>
    </row>
    <row r="687" spans="1:3" x14ac:dyDescent="0.25">
      <c r="A687" s="6">
        <v>2902451</v>
      </c>
      <c r="B687" s="6" t="s">
        <v>972</v>
      </c>
      <c r="C687" s="77">
        <v>12995</v>
      </c>
    </row>
    <row r="688" spans="1:3" x14ac:dyDescent="0.25">
      <c r="A688" s="6">
        <v>2902453</v>
      </c>
      <c r="B688" s="6" t="s">
        <v>973</v>
      </c>
      <c r="C688" s="77">
        <v>106752</v>
      </c>
    </row>
    <row r="689" spans="1:3" x14ac:dyDescent="0.25">
      <c r="A689" s="6">
        <v>2902454</v>
      </c>
      <c r="B689" s="6" t="s">
        <v>974</v>
      </c>
      <c r="C689" s="77">
        <v>27951</v>
      </c>
    </row>
    <row r="690" spans="1:3" x14ac:dyDescent="0.25">
      <c r="A690" s="6">
        <v>2902457</v>
      </c>
      <c r="B690" s="6" t="s">
        <v>975</v>
      </c>
      <c r="C690" s="77">
        <v>17329</v>
      </c>
    </row>
    <row r="691" spans="1:3" x14ac:dyDescent="0.25">
      <c r="A691" s="6">
        <v>2902458</v>
      </c>
      <c r="B691" s="6" t="s">
        <v>976</v>
      </c>
      <c r="C691" s="77">
        <v>813887</v>
      </c>
    </row>
    <row r="692" spans="1:3" x14ac:dyDescent="0.25">
      <c r="A692" s="6">
        <v>2902459</v>
      </c>
      <c r="B692" s="6" t="s">
        <v>977</v>
      </c>
      <c r="C692" s="77">
        <v>1351832</v>
      </c>
    </row>
    <row r="693" spans="1:3" x14ac:dyDescent="0.25">
      <c r="A693" s="6">
        <v>2902471</v>
      </c>
      <c r="B693" s="6" t="s">
        <v>2801</v>
      </c>
      <c r="C693" s="77">
        <v>12995</v>
      </c>
    </row>
    <row r="694" spans="1:3" x14ac:dyDescent="0.25">
      <c r="A694" s="6">
        <v>2902475</v>
      </c>
      <c r="B694" s="6" t="s">
        <v>978</v>
      </c>
      <c r="C694" s="77">
        <v>151545</v>
      </c>
    </row>
    <row r="695" spans="1:3" x14ac:dyDescent="0.25">
      <c r="A695" s="6">
        <v>2902479</v>
      </c>
      <c r="B695" s="6" t="s">
        <v>979</v>
      </c>
      <c r="C695" s="77">
        <v>1184700</v>
      </c>
    </row>
    <row r="696" spans="1:3" x14ac:dyDescent="0.25">
      <c r="A696" s="6">
        <v>2902481</v>
      </c>
      <c r="B696" s="6" t="s">
        <v>980</v>
      </c>
      <c r="C696" s="77">
        <v>449165</v>
      </c>
    </row>
    <row r="697" spans="1:3" x14ac:dyDescent="0.25">
      <c r="A697" s="6">
        <v>2902482</v>
      </c>
      <c r="B697" s="6" t="s">
        <v>981</v>
      </c>
      <c r="C697" s="77">
        <v>646321</v>
      </c>
    </row>
    <row r="698" spans="1:3" x14ac:dyDescent="0.25">
      <c r="A698" s="6">
        <v>2902483</v>
      </c>
      <c r="B698" s="6" t="s">
        <v>982</v>
      </c>
      <c r="C698" s="77">
        <v>4601176</v>
      </c>
    </row>
    <row r="699" spans="1:3" x14ac:dyDescent="0.25">
      <c r="A699" s="6">
        <v>2902484</v>
      </c>
      <c r="B699" s="6" t="s">
        <v>983</v>
      </c>
      <c r="C699" s="77">
        <v>3893657</v>
      </c>
    </row>
    <row r="700" spans="1:3" x14ac:dyDescent="0.25">
      <c r="A700" s="6">
        <v>2902485</v>
      </c>
      <c r="B700" s="6" t="s">
        <v>984</v>
      </c>
      <c r="C700" s="77">
        <v>17330</v>
      </c>
    </row>
    <row r="701" spans="1:3" x14ac:dyDescent="0.25">
      <c r="A701" s="6">
        <v>2902492</v>
      </c>
      <c r="B701" s="6" t="s">
        <v>985</v>
      </c>
      <c r="C701" s="77">
        <v>3820516</v>
      </c>
    </row>
    <row r="702" spans="1:3" x14ac:dyDescent="0.25">
      <c r="A702" s="6">
        <v>2902493</v>
      </c>
      <c r="B702" s="6" t="s">
        <v>986</v>
      </c>
      <c r="C702" s="77">
        <v>968598</v>
      </c>
    </row>
    <row r="703" spans="1:3" x14ac:dyDescent="0.25">
      <c r="A703" s="6">
        <v>2902494</v>
      </c>
      <c r="B703" s="6" t="s">
        <v>987</v>
      </c>
      <c r="C703" s="77">
        <v>968598</v>
      </c>
    </row>
    <row r="704" spans="1:3" x14ac:dyDescent="0.25">
      <c r="A704" s="6">
        <v>2902497</v>
      </c>
      <c r="B704" s="6" t="s">
        <v>988</v>
      </c>
      <c r="C704" s="77">
        <v>2190818</v>
      </c>
    </row>
    <row r="705" spans="1:3" x14ac:dyDescent="0.25">
      <c r="A705" s="6">
        <v>2902505</v>
      </c>
      <c r="B705" s="6" t="s">
        <v>989</v>
      </c>
      <c r="C705" s="77">
        <v>39917</v>
      </c>
    </row>
    <row r="706" spans="1:3" x14ac:dyDescent="0.25">
      <c r="A706" s="6">
        <v>2902511</v>
      </c>
      <c r="B706" s="6" t="s">
        <v>990</v>
      </c>
      <c r="C706" s="77">
        <v>901961</v>
      </c>
    </row>
    <row r="707" spans="1:3" x14ac:dyDescent="0.25">
      <c r="A707" s="6">
        <v>2902512</v>
      </c>
      <c r="B707" s="6" t="s">
        <v>2802</v>
      </c>
      <c r="C707" s="77">
        <v>579832</v>
      </c>
    </row>
    <row r="708" spans="1:3" x14ac:dyDescent="0.25">
      <c r="A708" s="6">
        <v>2902513</v>
      </c>
      <c r="B708" s="6" t="s">
        <v>991</v>
      </c>
      <c r="C708" s="77">
        <v>756991</v>
      </c>
    </row>
    <row r="709" spans="1:3" x14ac:dyDescent="0.25">
      <c r="A709" s="6">
        <v>2902515</v>
      </c>
      <c r="B709" s="6" t="s">
        <v>992</v>
      </c>
      <c r="C709" s="77">
        <v>76243</v>
      </c>
    </row>
    <row r="710" spans="1:3" x14ac:dyDescent="0.25">
      <c r="A710" s="6">
        <v>2902517</v>
      </c>
      <c r="B710" s="6" t="s">
        <v>993</v>
      </c>
      <c r="C710" s="77">
        <v>113879</v>
      </c>
    </row>
    <row r="711" spans="1:3" x14ac:dyDescent="0.25">
      <c r="A711" s="6">
        <v>2902519</v>
      </c>
      <c r="B711" s="6" t="s">
        <v>994</v>
      </c>
      <c r="C711" s="77">
        <v>135622</v>
      </c>
    </row>
    <row r="712" spans="1:3" x14ac:dyDescent="0.25">
      <c r="A712" s="6">
        <v>2902520</v>
      </c>
      <c r="B712" s="6" t="s">
        <v>995</v>
      </c>
      <c r="C712" s="77">
        <v>135622</v>
      </c>
    </row>
    <row r="713" spans="1:3" x14ac:dyDescent="0.25">
      <c r="A713" s="6">
        <v>2902521</v>
      </c>
      <c r="B713" s="6" t="s">
        <v>996</v>
      </c>
      <c r="C713" s="77">
        <v>127491</v>
      </c>
    </row>
    <row r="714" spans="1:3" x14ac:dyDescent="0.25">
      <c r="A714" s="6">
        <v>2902522</v>
      </c>
      <c r="B714" s="6" t="s">
        <v>997</v>
      </c>
      <c r="C714" s="77">
        <v>127491</v>
      </c>
    </row>
    <row r="715" spans="1:3" x14ac:dyDescent="0.25">
      <c r="A715" s="6">
        <v>2902523</v>
      </c>
      <c r="B715" s="6" t="s">
        <v>2803</v>
      </c>
      <c r="C715" s="77">
        <v>2995550</v>
      </c>
    </row>
    <row r="716" spans="1:3" x14ac:dyDescent="0.25">
      <c r="A716" s="6">
        <v>2902526</v>
      </c>
      <c r="B716" s="6" t="s">
        <v>998</v>
      </c>
      <c r="C716" s="77">
        <v>877372</v>
      </c>
    </row>
    <row r="717" spans="1:3" x14ac:dyDescent="0.25">
      <c r="A717" s="6">
        <v>2902527</v>
      </c>
      <c r="B717" s="6" t="s">
        <v>999</v>
      </c>
      <c r="C717" s="77">
        <v>991469</v>
      </c>
    </row>
    <row r="718" spans="1:3" x14ac:dyDescent="0.25">
      <c r="A718" s="6">
        <v>2902538</v>
      </c>
      <c r="B718" s="6" t="s">
        <v>1000</v>
      </c>
      <c r="C718" s="77">
        <v>48849</v>
      </c>
    </row>
    <row r="719" spans="1:3" x14ac:dyDescent="0.25">
      <c r="A719" s="6">
        <v>2902539</v>
      </c>
      <c r="B719" s="6" t="s">
        <v>1001</v>
      </c>
      <c r="C719" s="77">
        <v>86508</v>
      </c>
    </row>
    <row r="720" spans="1:3" x14ac:dyDescent="0.25">
      <c r="A720" s="6">
        <v>2902540</v>
      </c>
      <c r="B720" s="6" t="s">
        <v>1002</v>
      </c>
      <c r="C720" s="77">
        <v>76721</v>
      </c>
    </row>
    <row r="721" spans="1:3" x14ac:dyDescent="0.25">
      <c r="A721" s="6">
        <v>2902541</v>
      </c>
      <c r="B721" s="6" t="s">
        <v>1003</v>
      </c>
      <c r="C721" s="77">
        <v>135264</v>
      </c>
    </row>
    <row r="722" spans="1:3" x14ac:dyDescent="0.25">
      <c r="A722" s="6">
        <v>2902544</v>
      </c>
      <c r="B722" s="6" t="s">
        <v>1004</v>
      </c>
      <c r="C722" s="77">
        <v>832113</v>
      </c>
    </row>
    <row r="723" spans="1:3" x14ac:dyDescent="0.25">
      <c r="A723" s="6">
        <v>2902545</v>
      </c>
      <c r="B723" s="6" t="s">
        <v>1005</v>
      </c>
      <c r="C723" s="77">
        <v>2837</v>
      </c>
    </row>
    <row r="724" spans="1:3" x14ac:dyDescent="0.25">
      <c r="A724" s="6">
        <v>2902546</v>
      </c>
      <c r="B724" s="6" t="s">
        <v>1006</v>
      </c>
      <c r="C724" s="77">
        <v>5294</v>
      </c>
    </row>
    <row r="725" spans="1:3" x14ac:dyDescent="0.25">
      <c r="A725" s="6">
        <v>2902547</v>
      </c>
      <c r="B725" s="6" t="s">
        <v>1007</v>
      </c>
      <c r="C725" s="77">
        <v>3515</v>
      </c>
    </row>
    <row r="726" spans="1:3" x14ac:dyDescent="0.25">
      <c r="A726" s="6">
        <v>2902548</v>
      </c>
      <c r="B726" s="6" t="s">
        <v>1008</v>
      </c>
      <c r="C726" s="77">
        <v>7143</v>
      </c>
    </row>
    <row r="727" spans="1:3" x14ac:dyDescent="0.25">
      <c r="A727" s="6">
        <v>2902549</v>
      </c>
      <c r="B727" s="6" t="s">
        <v>1009</v>
      </c>
      <c r="C727" s="77">
        <v>4933</v>
      </c>
    </row>
    <row r="728" spans="1:3" x14ac:dyDescent="0.25">
      <c r="A728" s="6">
        <v>2902550</v>
      </c>
      <c r="B728" s="6" t="s">
        <v>1010</v>
      </c>
      <c r="C728" s="77">
        <v>8886</v>
      </c>
    </row>
    <row r="729" spans="1:3" x14ac:dyDescent="0.25">
      <c r="A729" s="6">
        <v>2902551</v>
      </c>
      <c r="B729" s="6" t="s">
        <v>1011</v>
      </c>
      <c r="C729" s="77">
        <v>11602</v>
      </c>
    </row>
    <row r="730" spans="1:3" x14ac:dyDescent="0.25">
      <c r="A730" s="6">
        <v>2902552</v>
      </c>
      <c r="B730" s="6" t="s">
        <v>1012</v>
      </c>
      <c r="C730" s="77">
        <v>17792</v>
      </c>
    </row>
    <row r="731" spans="1:3" x14ac:dyDescent="0.25">
      <c r="A731" s="6">
        <v>2902554</v>
      </c>
      <c r="B731" s="6" t="s">
        <v>1013</v>
      </c>
      <c r="C731" s="77">
        <v>10249</v>
      </c>
    </row>
    <row r="732" spans="1:3" x14ac:dyDescent="0.25">
      <c r="A732" s="6">
        <v>2902559</v>
      </c>
      <c r="B732" s="6" t="s">
        <v>1014</v>
      </c>
      <c r="C732" s="77">
        <v>5757</v>
      </c>
    </row>
    <row r="733" spans="1:3" x14ac:dyDescent="0.25">
      <c r="A733" s="6">
        <v>2902560</v>
      </c>
      <c r="B733" s="6" t="s">
        <v>1015</v>
      </c>
      <c r="C733" s="77">
        <v>8325</v>
      </c>
    </row>
    <row r="734" spans="1:3" x14ac:dyDescent="0.25">
      <c r="A734" s="6">
        <v>2902561</v>
      </c>
      <c r="B734" s="6" t="s">
        <v>1016</v>
      </c>
      <c r="C734" s="77">
        <v>11110</v>
      </c>
    </row>
    <row r="735" spans="1:3" x14ac:dyDescent="0.25">
      <c r="A735" s="6">
        <v>2902562</v>
      </c>
      <c r="B735" s="6" t="s">
        <v>1017</v>
      </c>
      <c r="C735" s="77">
        <v>19156</v>
      </c>
    </row>
    <row r="736" spans="1:3" x14ac:dyDescent="0.25">
      <c r="A736" s="6">
        <v>2902569</v>
      </c>
      <c r="B736" s="6" t="s">
        <v>1018</v>
      </c>
      <c r="C736" s="77">
        <v>901961</v>
      </c>
    </row>
    <row r="737" spans="1:3" x14ac:dyDescent="0.25">
      <c r="A737" s="6">
        <v>2902604</v>
      </c>
      <c r="B737" s="6" t="s">
        <v>1019</v>
      </c>
      <c r="C737" s="77">
        <v>36267</v>
      </c>
    </row>
    <row r="738" spans="1:3" x14ac:dyDescent="0.25">
      <c r="A738" s="6">
        <v>2902605</v>
      </c>
      <c r="B738" s="6" t="s">
        <v>1020</v>
      </c>
      <c r="C738" s="77">
        <v>51281</v>
      </c>
    </row>
    <row r="739" spans="1:3" x14ac:dyDescent="0.25">
      <c r="A739" s="6">
        <v>2902606</v>
      </c>
      <c r="B739" s="6" t="s">
        <v>2804</v>
      </c>
      <c r="C739" s="77">
        <v>78047</v>
      </c>
    </row>
    <row r="740" spans="1:3" x14ac:dyDescent="0.25">
      <c r="A740" s="6">
        <v>2902607</v>
      </c>
      <c r="B740" s="6" t="s">
        <v>1021</v>
      </c>
      <c r="C740" s="77">
        <v>1430519</v>
      </c>
    </row>
    <row r="741" spans="1:3" x14ac:dyDescent="0.25">
      <c r="A741" s="6">
        <v>2902608</v>
      </c>
      <c r="B741" s="6" t="s">
        <v>1022</v>
      </c>
      <c r="C741" s="77">
        <v>1430519</v>
      </c>
    </row>
    <row r="742" spans="1:3" x14ac:dyDescent="0.25">
      <c r="A742" s="6">
        <v>2902609</v>
      </c>
      <c r="B742" s="6" t="s">
        <v>1023</v>
      </c>
      <c r="C742" s="77">
        <v>926146</v>
      </c>
    </row>
    <row r="743" spans="1:3" x14ac:dyDescent="0.25">
      <c r="A743" s="6">
        <v>2902610</v>
      </c>
      <c r="B743" s="6" t="s">
        <v>1024</v>
      </c>
      <c r="C743" s="77">
        <v>926146</v>
      </c>
    </row>
    <row r="744" spans="1:3" x14ac:dyDescent="0.25">
      <c r="A744" s="6">
        <v>2902615</v>
      </c>
      <c r="B744" s="6" t="s">
        <v>1025</v>
      </c>
      <c r="C744" s="77">
        <v>1167928</v>
      </c>
    </row>
    <row r="745" spans="1:3" x14ac:dyDescent="0.25">
      <c r="A745" s="6">
        <v>2902616</v>
      </c>
      <c r="B745" s="6" t="s">
        <v>1026</v>
      </c>
      <c r="C745" s="77">
        <v>1415211</v>
      </c>
    </row>
    <row r="746" spans="1:3" x14ac:dyDescent="0.25">
      <c r="A746" s="6">
        <v>2902618</v>
      </c>
      <c r="B746" s="6" t="s">
        <v>2805</v>
      </c>
      <c r="C746" s="77">
        <v>871388</v>
      </c>
    </row>
    <row r="747" spans="1:3" x14ac:dyDescent="0.25">
      <c r="A747" s="6">
        <v>2902620</v>
      </c>
      <c r="B747" s="6" t="s">
        <v>2806</v>
      </c>
      <c r="C747" s="77">
        <v>1153421</v>
      </c>
    </row>
    <row r="748" spans="1:3" x14ac:dyDescent="0.25">
      <c r="A748" s="6">
        <v>2902622</v>
      </c>
      <c r="B748" s="6" t="s">
        <v>2807</v>
      </c>
      <c r="C748" s="77">
        <v>33053</v>
      </c>
    </row>
    <row r="749" spans="1:3" x14ac:dyDescent="0.25">
      <c r="A749" s="6">
        <v>2902624</v>
      </c>
      <c r="B749" s="6" t="s">
        <v>2808</v>
      </c>
      <c r="C749" s="77">
        <v>43847</v>
      </c>
    </row>
    <row r="750" spans="1:3" x14ac:dyDescent="0.25">
      <c r="A750" s="6">
        <v>2902626</v>
      </c>
      <c r="B750" s="6" t="s">
        <v>2809</v>
      </c>
      <c r="C750" s="77">
        <v>50731</v>
      </c>
    </row>
    <row r="751" spans="1:3" x14ac:dyDescent="0.25">
      <c r="A751" s="6">
        <v>2902628</v>
      </c>
      <c r="B751" s="6" t="s">
        <v>2810</v>
      </c>
      <c r="C751" s="77">
        <v>86870</v>
      </c>
    </row>
    <row r="752" spans="1:3" x14ac:dyDescent="0.25">
      <c r="A752" s="6">
        <v>2902631</v>
      </c>
      <c r="B752" s="6" t="s">
        <v>2811</v>
      </c>
      <c r="C752" s="77">
        <v>200885</v>
      </c>
    </row>
    <row r="753" spans="1:3" x14ac:dyDescent="0.25">
      <c r="A753" s="6">
        <v>2902633</v>
      </c>
      <c r="B753" s="6" t="s">
        <v>2812</v>
      </c>
      <c r="C753" s="77">
        <v>408180</v>
      </c>
    </row>
    <row r="754" spans="1:3" x14ac:dyDescent="0.25">
      <c r="A754" s="6">
        <v>2902635</v>
      </c>
      <c r="B754" s="6" t="s">
        <v>2813</v>
      </c>
      <c r="C754" s="77">
        <v>1065154</v>
      </c>
    </row>
    <row r="755" spans="1:3" x14ac:dyDescent="0.25">
      <c r="A755" s="6">
        <v>2902637</v>
      </c>
      <c r="B755" s="6" t="s">
        <v>2814</v>
      </c>
      <c r="C755" s="77">
        <v>1434366</v>
      </c>
    </row>
    <row r="756" spans="1:3" x14ac:dyDescent="0.25">
      <c r="A756" s="6">
        <v>2902639</v>
      </c>
      <c r="B756" s="6" t="s">
        <v>2815</v>
      </c>
      <c r="C756" s="77">
        <v>28589</v>
      </c>
    </row>
    <row r="757" spans="1:3" x14ac:dyDescent="0.25">
      <c r="A757" s="6">
        <v>2902641</v>
      </c>
      <c r="B757" s="6" t="s">
        <v>2816</v>
      </c>
      <c r="C757" s="77">
        <v>49688</v>
      </c>
    </row>
    <row r="758" spans="1:3" x14ac:dyDescent="0.25">
      <c r="A758" s="6">
        <v>2902643</v>
      </c>
      <c r="B758" s="6" t="s">
        <v>2817</v>
      </c>
      <c r="C758" s="77">
        <v>55659</v>
      </c>
    </row>
    <row r="759" spans="1:3" x14ac:dyDescent="0.25">
      <c r="A759" s="6">
        <v>2902645</v>
      </c>
      <c r="B759" s="6" t="s">
        <v>2818</v>
      </c>
      <c r="C759" s="77">
        <v>91434</v>
      </c>
    </row>
    <row r="760" spans="1:3" x14ac:dyDescent="0.25">
      <c r="A760" s="6">
        <v>2902648</v>
      </c>
      <c r="B760" s="6" t="s">
        <v>2819</v>
      </c>
      <c r="C760" s="77">
        <v>224662</v>
      </c>
    </row>
    <row r="761" spans="1:3" x14ac:dyDescent="0.25">
      <c r="A761" s="6">
        <v>2902650</v>
      </c>
      <c r="B761" s="6" t="s">
        <v>2820</v>
      </c>
      <c r="C761" s="77">
        <v>475353</v>
      </c>
    </row>
    <row r="762" spans="1:3" x14ac:dyDescent="0.25">
      <c r="A762" s="6">
        <v>2902652</v>
      </c>
      <c r="B762" s="6" t="s">
        <v>2821</v>
      </c>
      <c r="C762" s="77">
        <v>1308146</v>
      </c>
    </row>
    <row r="763" spans="1:3" x14ac:dyDescent="0.25">
      <c r="A763" s="6">
        <v>2902654</v>
      </c>
      <c r="B763" s="6" t="s">
        <v>2822</v>
      </c>
      <c r="C763" s="77">
        <v>1836254</v>
      </c>
    </row>
    <row r="764" spans="1:3" x14ac:dyDescent="0.25">
      <c r="A764" s="6">
        <v>2902656</v>
      </c>
      <c r="B764" s="6" t="s">
        <v>2823</v>
      </c>
      <c r="C764" s="77">
        <v>59047</v>
      </c>
    </row>
    <row r="765" spans="1:3" x14ac:dyDescent="0.25">
      <c r="A765" s="6">
        <v>2902658</v>
      </c>
      <c r="B765" s="6" t="s">
        <v>2824</v>
      </c>
      <c r="C765" s="77">
        <v>89335</v>
      </c>
    </row>
    <row r="766" spans="1:3" x14ac:dyDescent="0.25">
      <c r="A766" s="6">
        <v>2902660</v>
      </c>
      <c r="B766" s="6" t="s">
        <v>2825</v>
      </c>
      <c r="C766" s="77">
        <v>87933</v>
      </c>
    </row>
    <row r="767" spans="1:3" x14ac:dyDescent="0.25">
      <c r="A767" s="6">
        <v>2902663</v>
      </c>
      <c r="B767" s="6" t="s">
        <v>2826</v>
      </c>
      <c r="C767" s="77">
        <v>116048</v>
      </c>
    </row>
    <row r="768" spans="1:3" x14ac:dyDescent="0.25">
      <c r="A768" s="6">
        <v>2902665</v>
      </c>
      <c r="B768" s="6" t="s">
        <v>1027</v>
      </c>
      <c r="C768" s="77">
        <v>217847</v>
      </c>
    </row>
    <row r="769" spans="1:3" x14ac:dyDescent="0.25">
      <c r="A769" s="6">
        <v>2902667</v>
      </c>
      <c r="B769" s="6" t="s">
        <v>2827</v>
      </c>
      <c r="C769" s="77">
        <v>610827</v>
      </c>
    </row>
    <row r="770" spans="1:3" x14ac:dyDescent="0.25">
      <c r="A770" s="6">
        <v>2902668</v>
      </c>
      <c r="B770" s="6" t="s">
        <v>1028</v>
      </c>
      <c r="C770" s="77">
        <v>494685</v>
      </c>
    </row>
    <row r="771" spans="1:3" x14ac:dyDescent="0.25">
      <c r="A771" s="6">
        <v>2902669</v>
      </c>
      <c r="B771" s="6" t="s">
        <v>2828</v>
      </c>
      <c r="C771" s="77">
        <v>698984</v>
      </c>
    </row>
    <row r="772" spans="1:3" x14ac:dyDescent="0.25">
      <c r="A772" s="6">
        <v>2902670</v>
      </c>
      <c r="B772" s="6" t="s">
        <v>2829</v>
      </c>
      <c r="C772" s="77">
        <v>248559</v>
      </c>
    </row>
    <row r="773" spans="1:3" x14ac:dyDescent="0.25">
      <c r="A773" s="6">
        <v>2902672</v>
      </c>
      <c r="B773" s="6" t="s">
        <v>2830</v>
      </c>
      <c r="C773" s="77">
        <v>1999634</v>
      </c>
    </row>
    <row r="774" spans="1:3" x14ac:dyDescent="0.25">
      <c r="A774" s="6">
        <v>2902674</v>
      </c>
      <c r="B774" s="6" t="s">
        <v>2831</v>
      </c>
      <c r="C774" s="77">
        <v>2713868</v>
      </c>
    </row>
    <row r="775" spans="1:3" x14ac:dyDescent="0.25">
      <c r="A775" s="6">
        <v>2902676</v>
      </c>
      <c r="B775" s="6" t="s">
        <v>2832</v>
      </c>
      <c r="C775" s="77">
        <v>61531</v>
      </c>
    </row>
    <row r="776" spans="1:3" x14ac:dyDescent="0.25">
      <c r="A776" s="6">
        <v>2902678</v>
      </c>
      <c r="B776" s="6" t="s">
        <v>2833</v>
      </c>
      <c r="C776" s="77">
        <v>77901</v>
      </c>
    </row>
    <row r="777" spans="1:3" x14ac:dyDescent="0.25">
      <c r="A777" s="6">
        <v>2902680</v>
      </c>
      <c r="B777" s="6" t="s">
        <v>2834</v>
      </c>
      <c r="C777" s="77">
        <v>92654</v>
      </c>
    </row>
    <row r="778" spans="1:3" x14ac:dyDescent="0.25">
      <c r="A778" s="6">
        <v>2902682</v>
      </c>
      <c r="B778" s="6" t="s">
        <v>1029</v>
      </c>
      <c r="C778" s="77">
        <v>122742</v>
      </c>
    </row>
    <row r="779" spans="1:3" x14ac:dyDescent="0.25">
      <c r="A779" s="6">
        <v>2902684</v>
      </c>
      <c r="B779" s="6" t="s">
        <v>1030</v>
      </c>
      <c r="C779" s="77">
        <v>250980</v>
      </c>
    </row>
    <row r="780" spans="1:3" x14ac:dyDescent="0.25">
      <c r="A780" s="6">
        <v>2902686</v>
      </c>
      <c r="B780" s="6" t="s">
        <v>2835</v>
      </c>
      <c r="C780" s="77">
        <v>919393</v>
      </c>
    </row>
    <row r="781" spans="1:3" x14ac:dyDescent="0.25">
      <c r="A781" s="6">
        <v>2902687</v>
      </c>
      <c r="B781" s="6" t="s">
        <v>1031</v>
      </c>
      <c r="C781" s="77">
        <v>162892</v>
      </c>
    </row>
    <row r="782" spans="1:3" x14ac:dyDescent="0.25">
      <c r="A782" s="6">
        <v>2902688</v>
      </c>
      <c r="B782" s="6" t="s">
        <v>1032</v>
      </c>
      <c r="C782" s="77">
        <v>315560</v>
      </c>
    </row>
    <row r="783" spans="1:3" x14ac:dyDescent="0.25">
      <c r="A783" s="6">
        <v>2902689</v>
      </c>
      <c r="B783" s="6" t="s">
        <v>1033</v>
      </c>
      <c r="C783" s="77">
        <v>165569</v>
      </c>
    </row>
    <row r="784" spans="1:3" x14ac:dyDescent="0.25">
      <c r="A784" s="6">
        <v>2902690</v>
      </c>
      <c r="B784" s="6" t="s">
        <v>1034</v>
      </c>
      <c r="C784" s="77">
        <v>316625</v>
      </c>
    </row>
    <row r="785" spans="1:3" x14ac:dyDescent="0.25">
      <c r="A785" s="6">
        <v>2902691</v>
      </c>
      <c r="B785" s="6" t="s">
        <v>1035</v>
      </c>
      <c r="C785" s="77">
        <v>484968</v>
      </c>
    </row>
    <row r="786" spans="1:3" x14ac:dyDescent="0.25">
      <c r="A786" s="6">
        <v>2902692</v>
      </c>
      <c r="B786" s="6" t="s">
        <v>1036</v>
      </c>
      <c r="C786" s="77">
        <v>1586768</v>
      </c>
    </row>
    <row r="787" spans="1:3" x14ac:dyDescent="0.25">
      <c r="A787" s="6">
        <v>2902693</v>
      </c>
      <c r="B787" s="6" t="s">
        <v>2836</v>
      </c>
      <c r="C787" s="77">
        <v>2025319</v>
      </c>
    </row>
    <row r="788" spans="1:3" x14ac:dyDescent="0.25">
      <c r="A788" s="6">
        <v>2902702</v>
      </c>
      <c r="B788" s="6" t="s">
        <v>1037</v>
      </c>
      <c r="C788" s="77">
        <v>3699</v>
      </c>
    </row>
    <row r="789" spans="1:3" x14ac:dyDescent="0.25">
      <c r="A789" s="6">
        <v>2902704</v>
      </c>
      <c r="B789" s="6" t="s">
        <v>1038</v>
      </c>
      <c r="C789" s="77">
        <v>9423</v>
      </c>
    </row>
    <row r="790" spans="1:3" x14ac:dyDescent="0.25">
      <c r="A790" s="6">
        <v>2902706</v>
      </c>
      <c r="B790" s="6" t="s">
        <v>1039</v>
      </c>
      <c r="C790" s="77">
        <v>6508</v>
      </c>
    </row>
    <row r="791" spans="1:3" x14ac:dyDescent="0.25">
      <c r="A791" s="6">
        <v>2902709</v>
      </c>
      <c r="B791" s="6" t="s">
        <v>1040</v>
      </c>
      <c r="C791" s="77">
        <v>1221</v>
      </c>
    </row>
    <row r="792" spans="1:3" x14ac:dyDescent="0.25">
      <c r="A792" s="6">
        <v>2902711</v>
      </c>
      <c r="B792" s="6" t="s">
        <v>1041</v>
      </c>
      <c r="C792" s="77">
        <v>17401</v>
      </c>
    </row>
    <row r="793" spans="1:3" x14ac:dyDescent="0.25">
      <c r="A793" s="6">
        <v>2902713</v>
      </c>
      <c r="B793" s="6" t="s">
        <v>1042</v>
      </c>
      <c r="C793" s="77">
        <v>1952</v>
      </c>
    </row>
    <row r="794" spans="1:3" x14ac:dyDescent="0.25">
      <c r="A794" s="6">
        <v>2902717</v>
      </c>
      <c r="B794" s="6" t="s">
        <v>1043</v>
      </c>
      <c r="C794" s="77">
        <v>20031</v>
      </c>
    </row>
    <row r="795" spans="1:3" x14ac:dyDescent="0.25">
      <c r="A795" s="6">
        <v>2902718</v>
      </c>
      <c r="B795" s="6" t="s">
        <v>1044</v>
      </c>
      <c r="C795" s="77">
        <v>50282</v>
      </c>
    </row>
    <row r="796" spans="1:3" x14ac:dyDescent="0.25">
      <c r="A796" s="6">
        <v>2902719</v>
      </c>
      <c r="B796" s="6" t="s">
        <v>1045</v>
      </c>
      <c r="C796" s="77">
        <v>88269</v>
      </c>
    </row>
    <row r="797" spans="1:3" x14ac:dyDescent="0.25">
      <c r="A797" s="6">
        <v>2902720</v>
      </c>
      <c r="B797" s="6" t="s">
        <v>1046</v>
      </c>
      <c r="C797" s="77">
        <v>40658</v>
      </c>
    </row>
    <row r="798" spans="1:3" x14ac:dyDescent="0.25">
      <c r="A798" s="6">
        <v>2902721</v>
      </c>
      <c r="B798" s="6" t="s">
        <v>1047</v>
      </c>
      <c r="C798" s="77">
        <v>44723</v>
      </c>
    </row>
    <row r="799" spans="1:3" x14ac:dyDescent="0.25">
      <c r="A799" s="6">
        <v>2902723</v>
      </c>
      <c r="B799" s="6" t="s">
        <v>1048</v>
      </c>
      <c r="C799" s="77">
        <v>2001464</v>
      </c>
    </row>
    <row r="800" spans="1:3" x14ac:dyDescent="0.25">
      <c r="A800" s="6">
        <v>2902730</v>
      </c>
      <c r="B800" s="6" t="s">
        <v>1049</v>
      </c>
      <c r="C800" s="77">
        <v>79818</v>
      </c>
    </row>
    <row r="801" spans="1:3" x14ac:dyDescent="0.25">
      <c r="A801" s="6">
        <v>2902731</v>
      </c>
      <c r="B801" s="6" t="s">
        <v>1050</v>
      </c>
      <c r="C801" s="77">
        <v>257234</v>
      </c>
    </row>
    <row r="802" spans="1:3" x14ac:dyDescent="0.25">
      <c r="A802" s="6">
        <v>2902732</v>
      </c>
      <c r="B802" s="6" t="s">
        <v>1051</v>
      </c>
      <c r="C802" s="77">
        <v>257234</v>
      </c>
    </row>
    <row r="803" spans="1:3" x14ac:dyDescent="0.25">
      <c r="A803" s="6">
        <v>2902733</v>
      </c>
      <c r="B803" s="6" t="s">
        <v>1052</v>
      </c>
      <c r="C803" s="77">
        <v>257234</v>
      </c>
    </row>
    <row r="804" spans="1:3" x14ac:dyDescent="0.25">
      <c r="A804" s="6">
        <v>2902734</v>
      </c>
      <c r="B804" s="6" t="s">
        <v>2837</v>
      </c>
      <c r="C804" s="77">
        <v>257234</v>
      </c>
    </row>
    <row r="805" spans="1:3" x14ac:dyDescent="0.25">
      <c r="A805" s="6">
        <v>2902735</v>
      </c>
      <c r="B805" s="6" t="s">
        <v>1053</v>
      </c>
      <c r="C805" s="77">
        <v>3325</v>
      </c>
    </row>
    <row r="806" spans="1:3" x14ac:dyDescent="0.25">
      <c r="A806" s="6">
        <v>2902736</v>
      </c>
      <c r="B806" s="6" t="s">
        <v>1054</v>
      </c>
      <c r="C806" s="77">
        <v>8783</v>
      </c>
    </row>
    <row r="807" spans="1:3" x14ac:dyDescent="0.25">
      <c r="A807" s="6">
        <v>2902737</v>
      </c>
      <c r="B807" s="6" t="s">
        <v>1055</v>
      </c>
      <c r="C807" s="77">
        <v>50354</v>
      </c>
    </row>
    <row r="808" spans="1:3" x14ac:dyDescent="0.25">
      <c r="A808" s="6">
        <v>2902738</v>
      </c>
      <c r="B808" s="6" t="s">
        <v>1056</v>
      </c>
      <c r="C808" s="77">
        <v>4768</v>
      </c>
    </row>
    <row r="809" spans="1:3" x14ac:dyDescent="0.25">
      <c r="A809" s="6">
        <v>2902739</v>
      </c>
      <c r="B809" s="6" t="s">
        <v>1057</v>
      </c>
      <c r="C809" s="77">
        <v>27366</v>
      </c>
    </row>
    <row r="810" spans="1:3" x14ac:dyDescent="0.25">
      <c r="A810" s="6">
        <v>2902740</v>
      </c>
      <c r="B810" s="6" t="s">
        <v>1058</v>
      </c>
      <c r="C810" s="77">
        <v>6436</v>
      </c>
    </row>
    <row r="811" spans="1:3" x14ac:dyDescent="0.25">
      <c r="A811" s="6">
        <v>2902741</v>
      </c>
      <c r="B811" s="6" t="s">
        <v>1059</v>
      </c>
      <c r="C811" s="77">
        <v>180342</v>
      </c>
    </row>
    <row r="812" spans="1:3" x14ac:dyDescent="0.25">
      <c r="A812" s="6">
        <v>2902743</v>
      </c>
      <c r="B812" s="6" t="s">
        <v>1060</v>
      </c>
      <c r="C812" s="77">
        <v>23669</v>
      </c>
    </row>
    <row r="813" spans="1:3" x14ac:dyDescent="0.25">
      <c r="A813" s="6">
        <v>2902747</v>
      </c>
      <c r="B813" s="6" t="s">
        <v>1061</v>
      </c>
      <c r="C813" s="77">
        <v>54124</v>
      </c>
    </row>
    <row r="814" spans="1:3" x14ac:dyDescent="0.25">
      <c r="A814" s="6">
        <v>2902749</v>
      </c>
      <c r="B814" s="6" t="s">
        <v>1062</v>
      </c>
      <c r="C814" s="77">
        <v>68918</v>
      </c>
    </row>
    <row r="815" spans="1:3" x14ac:dyDescent="0.25">
      <c r="A815" s="6">
        <v>2902752</v>
      </c>
      <c r="B815" s="6" t="s">
        <v>1063</v>
      </c>
      <c r="C815" s="77">
        <v>82388</v>
      </c>
    </row>
    <row r="816" spans="1:3" x14ac:dyDescent="0.25">
      <c r="A816" s="6">
        <v>2902755</v>
      </c>
      <c r="B816" s="6" t="s">
        <v>1064</v>
      </c>
      <c r="C816" s="77">
        <v>82185</v>
      </c>
    </row>
    <row r="817" spans="1:3" x14ac:dyDescent="0.25">
      <c r="A817" s="6">
        <v>2902756</v>
      </c>
      <c r="B817" s="6" t="s">
        <v>1065</v>
      </c>
      <c r="C817" s="77">
        <v>67857</v>
      </c>
    </row>
    <row r="818" spans="1:3" x14ac:dyDescent="0.25">
      <c r="A818" s="6">
        <v>2902757</v>
      </c>
      <c r="B818" s="6" t="s">
        <v>1066</v>
      </c>
      <c r="C818" s="77">
        <v>67865</v>
      </c>
    </row>
    <row r="819" spans="1:3" x14ac:dyDescent="0.25">
      <c r="A819" s="6">
        <v>2902758</v>
      </c>
      <c r="B819" s="6" t="s">
        <v>1067</v>
      </c>
      <c r="C819" s="77">
        <v>102749</v>
      </c>
    </row>
    <row r="820" spans="1:3" x14ac:dyDescent="0.25">
      <c r="A820" s="6">
        <v>2902759</v>
      </c>
      <c r="B820" s="6" t="s">
        <v>1068</v>
      </c>
      <c r="C820" s="77">
        <v>66672</v>
      </c>
    </row>
    <row r="821" spans="1:3" x14ac:dyDescent="0.25">
      <c r="A821" s="6">
        <v>2902760</v>
      </c>
      <c r="B821" s="6" t="s">
        <v>1069</v>
      </c>
      <c r="C821" s="77">
        <v>76258</v>
      </c>
    </row>
    <row r="822" spans="1:3" x14ac:dyDescent="0.25">
      <c r="A822" s="6">
        <v>2902761</v>
      </c>
      <c r="B822" s="6" t="s">
        <v>1070</v>
      </c>
      <c r="C822" s="77">
        <v>248154</v>
      </c>
    </row>
    <row r="823" spans="1:3" x14ac:dyDescent="0.25">
      <c r="A823" s="6">
        <v>2902762</v>
      </c>
      <c r="B823" s="6" t="s">
        <v>1071</v>
      </c>
      <c r="C823" s="77">
        <v>312844</v>
      </c>
    </row>
    <row r="824" spans="1:3" x14ac:dyDescent="0.25">
      <c r="A824" s="6">
        <v>2902763</v>
      </c>
      <c r="B824" s="6" t="s">
        <v>1072</v>
      </c>
      <c r="C824" s="77">
        <v>41805</v>
      </c>
    </row>
    <row r="825" spans="1:3" x14ac:dyDescent="0.25">
      <c r="A825" s="6">
        <v>2902764</v>
      </c>
      <c r="B825" s="6" t="s">
        <v>1073</v>
      </c>
      <c r="C825" s="77">
        <v>41571</v>
      </c>
    </row>
    <row r="826" spans="1:3" x14ac:dyDescent="0.25">
      <c r="A826" s="6">
        <v>2902765</v>
      </c>
      <c r="B826" s="6" t="s">
        <v>1074</v>
      </c>
      <c r="C826" s="77">
        <v>28485</v>
      </c>
    </row>
    <row r="827" spans="1:3" x14ac:dyDescent="0.25">
      <c r="A827" s="6">
        <v>2902766</v>
      </c>
      <c r="B827" s="6" t="s">
        <v>1075</v>
      </c>
      <c r="C827" s="77">
        <v>173772</v>
      </c>
    </row>
    <row r="828" spans="1:3" x14ac:dyDescent="0.25">
      <c r="A828" s="6">
        <v>2902768</v>
      </c>
      <c r="B828" s="6" t="s">
        <v>1076</v>
      </c>
      <c r="C828" s="77">
        <v>173772</v>
      </c>
    </row>
    <row r="829" spans="1:3" x14ac:dyDescent="0.25">
      <c r="A829" s="6">
        <v>2902770</v>
      </c>
      <c r="B829" s="6" t="s">
        <v>1077</v>
      </c>
      <c r="C829" s="77">
        <v>281734</v>
      </c>
    </row>
    <row r="830" spans="1:3" x14ac:dyDescent="0.25">
      <c r="A830" s="6">
        <v>2902772</v>
      </c>
      <c r="B830" s="6" t="s">
        <v>1078</v>
      </c>
      <c r="C830" s="77">
        <v>286853</v>
      </c>
    </row>
    <row r="831" spans="1:3" x14ac:dyDescent="0.25">
      <c r="A831" s="6">
        <v>2902774</v>
      </c>
      <c r="B831" s="6" t="s">
        <v>1079</v>
      </c>
      <c r="C831" s="77">
        <v>306827</v>
      </c>
    </row>
    <row r="832" spans="1:3" x14ac:dyDescent="0.25">
      <c r="A832" s="6">
        <v>2902775</v>
      </c>
      <c r="B832" s="6" t="s">
        <v>1080</v>
      </c>
      <c r="C832" s="77">
        <v>468069</v>
      </c>
    </row>
    <row r="833" spans="1:3" x14ac:dyDescent="0.25">
      <c r="A833" s="6">
        <v>2902776</v>
      </c>
      <c r="B833" s="6" t="s">
        <v>1081</v>
      </c>
      <c r="C833" s="77">
        <v>286856</v>
      </c>
    </row>
    <row r="834" spans="1:3" x14ac:dyDescent="0.25">
      <c r="A834" s="6">
        <v>2902777</v>
      </c>
      <c r="B834" s="6" t="s">
        <v>1082</v>
      </c>
      <c r="C834" s="77">
        <v>173772</v>
      </c>
    </row>
    <row r="835" spans="1:3" x14ac:dyDescent="0.25">
      <c r="A835" s="6">
        <v>2902779</v>
      </c>
      <c r="B835" s="6" t="s">
        <v>2838</v>
      </c>
      <c r="C835" s="77">
        <v>173772</v>
      </c>
    </row>
    <row r="836" spans="1:3" x14ac:dyDescent="0.25">
      <c r="A836" s="6">
        <v>2902781</v>
      </c>
      <c r="B836" s="6" t="s">
        <v>1083</v>
      </c>
      <c r="C836" s="77">
        <v>286856</v>
      </c>
    </row>
    <row r="837" spans="1:3" x14ac:dyDescent="0.25">
      <c r="A837" s="6">
        <v>2902783</v>
      </c>
      <c r="B837" s="6" t="s">
        <v>2839</v>
      </c>
      <c r="C837" s="77">
        <v>286856</v>
      </c>
    </row>
    <row r="838" spans="1:3" x14ac:dyDescent="0.25">
      <c r="A838" s="6">
        <v>2902785</v>
      </c>
      <c r="B838" s="6" t="s">
        <v>1084</v>
      </c>
      <c r="C838" s="77">
        <v>286856</v>
      </c>
    </row>
    <row r="839" spans="1:3" x14ac:dyDescent="0.25">
      <c r="A839" s="6">
        <v>2902787</v>
      </c>
      <c r="B839" s="6" t="s">
        <v>1085</v>
      </c>
      <c r="C839" s="77">
        <v>306827</v>
      </c>
    </row>
    <row r="840" spans="1:3" x14ac:dyDescent="0.25">
      <c r="A840" s="6">
        <v>2902789</v>
      </c>
      <c r="B840" s="6" t="s">
        <v>1086</v>
      </c>
      <c r="C840" s="77">
        <v>468069</v>
      </c>
    </row>
    <row r="841" spans="1:3" x14ac:dyDescent="0.25">
      <c r="A841" s="6">
        <v>2902810</v>
      </c>
      <c r="B841" s="6" t="s">
        <v>1087</v>
      </c>
      <c r="C841" s="77">
        <v>11615</v>
      </c>
    </row>
    <row r="842" spans="1:3" x14ac:dyDescent="0.25">
      <c r="A842" s="6">
        <v>2902815</v>
      </c>
      <c r="B842" s="6" t="s">
        <v>1088</v>
      </c>
      <c r="C842" s="77">
        <v>67262</v>
      </c>
    </row>
    <row r="843" spans="1:3" x14ac:dyDescent="0.25">
      <c r="A843" s="6">
        <v>2902817</v>
      </c>
      <c r="B843" s="6" t="s">
        <v>2840</v>
      </c>
      <c r="C843" s="77">
        <v>118330</v>
      </c>
    </row>
    <row r="844" spans="1:3" x14ac:dyDescent="0.25">
      <c r="A844" s="6">
        <v>2902819</v>
      </c>
      <c r="B844" s="6" t="s">
        <v>1089</v>
      </c>
      <c r="C844" s="77">
        <v>184713</v>
      </c>
    </row>
    <row r="845" spans="1:3" x14ac:dyDescent="0.25">
      <c r="A845" s="6">
        <v>2902820</v>
      </c>
      <c r="B845" s="6" t="s">
        <v>1090</v>
      </c>
      <c r="C845" s="77">
        <v>549903</v>
      </c>
    </row>
    <row r="846" spans="1:3" x14ac:dyDescent="0.25">
      <c r="A846" s="6">
        <v>2902821</v>
      </c>
      <c r="B846" s="6" t="s">
        <v>1091</v>
      </c>
      <c r="C846" s="77">
        <v>668819</v>
      </c>
    </row>
    <row r="847" spans="1:3" x14ac:dyDescent="0.25">
      <c r="A847" s="6">
        <v>2902822</v>
      </c>
      <c r="B847" s="6" t="s">
        <v>1092</v>
      </c>
      <c r="C847" s="77">
        <v>1386203</v>
      </c>
    </row>
    <row r="848" spans="1:3" x14ac:dyDescent="0.25">
      <c r="A848" s="6">
        <v>2902823</v>
      </c>
      <c r="B848" s="6" t="s">
        <v>1093</v>
      </c>
      <c r="C848" s="77">
        <v>1844616</v>
      </c>
    </row>
    <row r="849" spans="1:3" x14ac:dyDescent="0.25">
      <c r="A849" s="6">
        <v>2902824</v>
      </c>
      <c r="B849" s="6" t="s">
        <v>1094</v>
      </c>
      <c r="C849" s="77">
        <v>218607</v>
      </c>
    </row>
    <row r="850" spans="1:3" x14ac:dyDescent="0.25">
      <c r="A850" s="6">
        <v>2902825</v>
      </c>
      <c r="B850" s="6" t="s">
        <v>1095</v>
      </c>
      <c r="C850" s="77">
        <v>176453</v>
      </c>
    </row>
    <row r="851" spans="1:3" x14ac:dyDescent="0.25">
      <c r="A851" s="6">
        <v>2902826</v>
      </c>
      <c r="B851" s="6" t="s">
        <v>1096</v>
      </c>
      <c r="C851" s="77">
        <v>194581</v>
      </c>
    </row>
    <row r="852" spans="1:3" x14ac:dyDescent="0.25">
      <c r="A852" s="6">
        <v>2902834</v>
      </c>
      <c r="B852" s="6" t="s">
        <v>1097</v>
      </c>
      <c r="C852" s="77">
        <v>73997</v>
      </c>
    </row>
    <row r="853" spans="1:3" x14ac:dyDescent="0.25">
      <c r="A853" s="6">
        <v>2902836</v>
      </c>
      <c r="B853" s="6" t="s">
        <v>1098</v>
      </c>
      <c r="C853" s="77">
        <v>85775</v>
      </c>
    </row>
    <row r="854" spans="1:3" x14ac:dyDescent="0.25">
      <c r="A854" s="6">
        <v>2902837</v>
      </c>
      <c r="B854" s="6" t="s">
        <v>1099</v>
      </c>
      <c r="C854" s="77">
        <v>95986</v>
      </c>
    </row>
    <row r="855" spans="1:3" x14ac:dyDescent="0.25">
      <c r="A855" s="6">
        <v>2902841</v>
      </c>
      <c r="B855" s="6" t="s">
        <v>1100</v>
      </c>
      <c r="C855" s="77">
        <v>83121</v>
      </c>
    </row>
    <row r="856" spans="1:3" x14ac:dyDescent="0.25">
      <c r="A856" s="6">
        <v>2902842</v>
      </c>
      <c r="B856" s="6" t="s">
        <v>1101</v>
      </c>
      <c r="C856" s="77">
        <v>95986</v>
      </c>
    </row>
    <row r="857" spans="1:3" x14ac:dyDescent="0.25">
      <c r="A857" s="6">
        <v>2902845</v>
      </c>
      <c r="B857" s="6" t="s">
        <v>1102</v>
      </c>
      <c r="C857" s="77">
        <v>121069</v>
      </c>
    </row>
    <row r="858" spans="1:3" x14ac:dyDescent="0.25">
      <c r="A858" s="6">
        <v>2902850</v>
      </c>
      <c r="B858" s="6" t="s">
        <v>1103</v>
      </c>
      <c r="C858" s="77">
        <v>101350</v>
      </c>
    </row>
    <row r="859" spans="1:3" x14ac:dyDescent="0.25">
      <c r="A859" s="6">
        <v>2902853</v>
      </c>
      <c r="B859" s="6" t="s">
        <v>1104</v>
      </c>
      <c r="C859" s="77">
        <v>139375</v>
      </c>
    </row>
    <row r="860" spans="1:3" x14ac:dyDescent="0.25">
      <c r="A860" s="6">
        <v>2902854</v>
      </c>
      <c r="B860" s="6" t="s">
        <v>1105</v>
      </c>
      <c r="C860" s="77">
        <v>139375</v>
      </c>
    </row>
    <row r="861" spans="1:3" x14ac:dyDescent="0.25">
      <c r="A861" s="6">
        <v>2902855</v>
      </c>
      <c r="B861" s="6" t="s">
        <v>1106</v>
      </c>
      <c r="C861" s="77">
        <v>128428</v>
      </c>
    </row>
    <row r="862" spans="1:3" x14ac:dyDescent="0.25">
      <c r="A862" s="6">
        <v>2902858</v>
      </c>
      <c r="B862" s="6" t="s">
        <v>1107</v>
      </c>
      <c r="C862" s="77">
        <v>192317</v>
      </c>
    </row>
    <row r="863" spans="1:3" x14ac:dyDescent="0.25">
      <c r="A863" s="6">
        <v>2902859</v>
      </c>
      <c r="B863" s="6" t="s">
        <v>1108</v>
      </c>
      <c r="C863" s="77">
        <v>144248</v>
      </c>
    </row>
    <row r="864" spans="1:3" x14ac:dyDescent="0.25">
      <c r="A864" s="6">
        <v>2902863</v>
      </c>
      <c r="B864" s="6" t="s">
        <v>1109</v>
      </c>
      <c r="C864" s="77">
        <v>146774</v>
      </c>
    </row>
    <row r="865" spans="1:3" x14ac:dyDescent="0.25">
      <c r="A865" s="6">
        <v>2902864</v>
      </c>
      <c r="B865" s="6" t="s">
        <v>1110</v>
      </c>
      <c r="C865" s="77">
        <v>155361</v>
      </c>
    </row>
    <row r="866" spans="1:3" x14ac:dyDescent="0.25">
      <c r="A866" s="6">
        <v>2902865</v>
      </c>
      <c r="B866" s="6" t="s">
        <v>1111</v>
      </c>
      <c r="C866" s="77">
        <v>155361</v>
      </c>
    </row>
    <row r="867" spans="1:3" x14ac:dyDescent="0.25">
      <c r="A867" s="6">
        <v>2902867</v>
      </c>
      <c r="B867" s="6" t="s">
        <v>1112</v>
      </c>
      <c r="C867" s="77">
        <v>129855</v>
      </c>
    </row>
    <row r="868" spans="1:3" x14ac:dyDescent="0.25">
      <c r="A868" s="6">
        <v>2902885</v>
      </c>
      <c r="B868" s="6" t="s">
        <v>2841</v>
      </c>
      <c r="C868" s="77">
        <v>520430</v>
      </c>
    </row>
    <row r="869" spans="1:3" x14ac:dyDescent="0.25">
      <c r="A869" s="6">
        <v>2902887</v>
      </c>
      <c r="B869" s="6" t="s">
        <v>1113</v>
      </c>
      <c r="C869" s="77">
        <v>546453</v>
      </c>
    </row>
    <row r="870" spans="1:3" x14ac:dyDescent="0.25">
      <c r="A870" s="6">
        <v>2902889</v>
      </c>
      <c r="B870" s="6" t="s">
        <v>2842</v>
      </c>
      <c r="C870" s="77">
        <v>806553</v>
      </c>
    </row>
    <row r="871" spans="1:3" x14ac:dyDescent="0.25">
      <c r="A871" s="6">
        <v>2902891</v>
      </c>
      <c r="B871" s="6" t="s">
        <v>1114</v>
      </c>
      <c r="C871" s="77">
        <v>846880</v>
      </c>
    </row>
    <row r="872" spans="1:3" x14ac:dyDescent="0.25">
      <c r="A872" s="6">
        <v>2902892</v>
      </c>
      <c r="B872" s="6" t="s">
        <v>2843</v>
      </c>
      <c r="C872" s="77">
        <v>28306</v>
      </c>
    </row>
    <row r="873" spans="1:3" x14ac:dyDescent="0.25">
      <c r="A873" s="6">
        <v>2902894</v>
      </c>
      <c r="B873" s="6" t="s">
        <v>1115</v>
      </c>
      <c r="C873" s="77">
        <v>29719</v>
      </c>
    </row>
    <row r="874" spans="1:3" x14ac:dyDescent="0.25">
      <c r="A874" s="6">
        <v>2902895</v>
      </c>
      <c r="B874" s="6" t="s">
        <v>2844</v>
      </c>
      <c r="C874" s="77">
        <v>42557</v>
      </c>
    </row>
    <row r="875" spans="1:3" x14ac:dyDescent="0.25">
      <c r="A875" s="6">
        <v>2902897</v>
      </c>
      <c r="B875" s="6" t="s">
        <v>1116</v>
      </c>
      <c r="C875" s="77">
        <v>44689</v>
      </c>
    </row>
    <row r="876" spans="1:3" x14ac:dyDescent="0.25">
      <c r="A876" s="6">
        <v>2902898</v>
      </c>
      <c r="B876" s="6" t="s">
        <v>2845</v>
      </c>
      <c r="C876" s="77">
        <v>46602</v>
      </c>
    </row>
    <row r="877" spans="1:3" x14ac:dyDescent="0.25">
      <c r="A877" s="6">
        <v>2902900</v>
      </c>
      <c r="B877" s="6" t="s">
        <v>1117</v>
      </c>
      <c r="C877" s="77">
        <v>48951</v>
      </c>
    </row>
    <row r="878" spans="1:3" x14ac:dyDescent="0.25">
      <c r="A878" s="6">
        <v>2902901</v>
      </c>
      <c r="B878" s="6" t="s">
        <v>2846</v>
      </c>
      <c r="C878" s="77">
        <v>67905</v>
      </c>
    </row>
    <row r="879" spans="1:3" x14ac:dyDescent="0.25">
      <c r="A879" s="6">
        <v>2902904</v>
      </c>
      <c r="B879" s="6" t="s">
        <v>1118</v>
      </c>
      <c r="C879" s="77">
        <v>71294</v>
      </c>
    </row>
    <row r="880" spans="1:3" x14ac:dyDescent="0.25">
      <c r="A880" s="6">
        <v>2902905</v>
      </c>
      <c r="B880" s="6" t="s">
        <v>2847</v>
      </c>
      <c r="C880" s="77">
        <v>158547</v>
      </c>
    </row>
    <row r="881" spans="1:3" x14ac:dyDescent="0.25">
      <c r="A881" s="6">
        <v>2902907</v>
      </c>
      <c r="B881" s="6" t="s">
        <v>1119</v>
      </c>
      <c r="C881" s="77">
        <v>166468</v>
      </c>
    </row>
    <row r="882" spans="1:3" x14ac:dyDescent="0.25">
      <c r="A882" s="6">
        <v>2902909</v>
      </c>
      <c r="B882" s="6" t="s">
        <v>2848</v>
      </c>
      <c r="C882" s="77">
        <v>291282</v>
      </c>
    </row>
    <row r="883" spans="1:3" x14ac:dyDescent="0.25">
      <c r="A883" s="6">
        <v>2902912</v>
      </c>
      <c r="B883" s="6" t="s">
        <v>1120</v>
      </c>
      <c r="C883" s="77">
        <v>305846</v>
      </c>
    </row>
    <row r="884" spans="1:3" x14ac:dyDescent="0.25">
      <c r="A884" s="6">
        <v>2902914</v>
      </c>
      <c r="B884" s="6" t="s">
        <v>1121</v>
      </c>
      <c r="C884" s="77">
        <v>152218</v>
      </c>
    </row>
    <row r="885" spans="1:3" x14ac:dyDescent="0.25">
      <c r="A885" s="6">
        <v>2902917</v>
      </c>
      <c r="B885" s="6" t="s">
        <v>1122</v>
      </c>
      <c r="C885" s="77">
        <v>260448</v>
      </c>
    </row>
    <row r="886" spans="1:3" x14ac:dyDescent="0.25">
      <c r="A886" s="6">
        <v>2902919</v>
      </c>
      <c r="B886" s="6" t="s">
        <v>2849</v>
      </c>
      <c r="C886" s="77">
        <v>346296</v>
      </c>
    </row>
    <row r="887" spans="1:3" x14ac:dyDescent="0.25">
      <c r="A887" s="6">
        <v>2902921</v>
      </c>
      <c r="B887" s="6" t="s">
        <v>1123</v>
      </c>
      <c r="C887" s="77">
        <v>397093</v>
      </c>
    </row>
    <row r="888" spans="1:3" x14ac:dyDescent="0.25">
      <c r="A888" s="6">
        <v>2902923</v>
      </c>
      <c r="B888" s="6" t="s">
        <v>1124</v>
      </c>
      <c r="C888" s="77">
        <v>751609</v>
      </c>
    </row>
    <row r="889" spans="1:3" x14ac:dyDescent="0.25">
      <c r="A889" s="6">
        <v>2902924</v>
      </c>
      <c r="B889" s="6" t="s">
        <v>1125</v>
      </c>
      <c r="C889" s="77">
        <v>417692</v>
      </c>
    </row>
    <row r="890" spans="1:3" x14ac:dyDescent="0.25">
      <c r="A890" s="6">
        <v>2902925</v>
      </c>
      <c r="B890" s="6" t="s">
        <v>1126</v>
      </c>
      <c r="C890" s="77">
        <v>779021</v>
      </c>
    </row>
    <row r="891" spans="1:3" x14ac:dyDescent="0.25">
      <c r="A891" s="6">
        <v>2902926</v>
      </c>
      <c r="B891" s="6" t="s">
        <v>1127</v>
      </c>
      <c r="C891" s="77">
        <v>469271</v>
      </c>
    </row>
    <row r="892" spans="1:3" x14ac:dyDescent="0.25">
      <c r="A892" s="6">
        <v>2902927</v>
      </c>
      <c r="B892" s="6" t="s">
        <v>1128</v>
      </c>
      <c r="C892" s="77">
        <v>934972</v>
      </c>
    </row>
    <row r="893" spans="1:3" x14ac:dyDescent="0.25">
      <c r="A893" s="6">
        <v>2902928</v>
      </c>
      <c r="B893" s="6" t="s">
        <v>1129</v>
      </c>
      <c r="C893" s="77">
        <v>996062</v>
      </c>
    </row>
    <row r="894" spans="1:3" x14ac:dyDescent="0.25">
      <c r="A894" s="6">
        <v>2902930</v>
      </c>
      <c r="B894" s="6" t="s">
        <v>1130</v>
      </c>
      <c r="C894" s="77">
        <v>6185</v>
      </c>
    </row>
    <row r="895" spans="1:3" x14ac:dyDescent="0.25">
      <c r="A895" s="6">
        <v>2902931</v>
      </c>
      <c r="B895" s="6" t="s">
        <v>1131</v>
      </c>
      <c r="C895" s="77">
        <v>8682</v>
      </c>
    </row>
    <row r="896" spans="1:3" x14ac:dyDescent="0.25">
      <c r="A896" s="6">
        <v>2902932</v>
      </c>
      <c r="B896" s="6" t="s">
        <v>1132</v>
      </c>
      <c r="C896" s="77">
        <v>41338</v>
      </c>
    </row>
    <row r="897" spans="1:3" x14ac:dyDescent="0.25">
      <c r="A897" s="6">
        <v>2902933</v>
      </c>
      <c r="B897" s="6" t="s">
        <v>1133</v>
      </c>
      <c r="C897" s="77">
        <v>66689</v>
      </c>
    </row>
    <row r="898" spans="1:3" x14ac:dyDescent="0.25">
      <c r="A898" s="6">
        <v>2902941</v>
      </c>
      <c r="B898" s="6" t="s">
        <v>2850</v>
      </c>
      <c r="C898" s="77">
        <v>583208</v>
      </c>
    </row>
    <row r="899" spans="1:3" x14ac:dyDescent="0.25">
      <c r="A899" s="6">
        <v>2902943</v>
      </c>
      <c r="B899" s="6" t="s">
        <v>2851</v>
      </c>
      <c r="C899" s="77">
        <v>1067615</v>
      </c>
    </row>
    <row r="900" spans="1:3" x14ac:dyDescent="0.25">
      <c r="A900" s="6">
        <v>2902945</v>
      </c>
      <c r="B900" s="6" t="s">
        <v>2852</v>
      </c>
      <c r="C900" s="77">
        <v>32770</v>
      </c>
    </row>
    <row r="901" spans="1:3" x14ac:dyDescent="0.25">
      <c r="A901" s="6">
        <v>2902947</v>
      </c>
      <c r="B901" s="6" t="s">
        <v>2853</v>
      </c>
      <c r="C901" s="77">
        <v>44021</v>
      </c>
    </row>
    <row r="902" spans="1:3" x14ac:dyDescent="0.25">
      <c r="A902" s="6">
        <v>2902950</v>
      </c>
      <c r="B902" s="6" t="s">
        <v>2854</v>
      </c>
      <c r="C902" s="77">
        <v>52197</v>
      </c>
    </row>
    <row r="903" spans="1:3" x14ac:dyDescent="0.25">
      <c r="A903" s="6">
        <v>2902953</v>
      </c>
      <c r="B903" s="6" t="s">
        <v>2855</v>
      </c>
      <c r="C903" s="77">
        <v>80196</v>
      </c>
    </row>
    <row r="904" spans="1:3" x14ac:dyDescent="0.25">
      <c r="A904" s="6">
        <v>2902956</v>
      </c>
      <c r="B904" s="6" t="s">
        <v>2856</v>
      </c>
      <c r="C904" s="77">
        <v>185707</v>
      </c>
    </row>
    <row r="905" spans="1:3" x14ac:dyDescent="0.25">
      <c r="A905" s="6">
        <v>2902959</v>
      </c>
      <c r="B905" s="6" t="s">
        <v>2857</v>
      </c>
      <c r="C905" s="77">
        <v>341458</v>
      </c>
    </row>
    <row r="906" spans="1:3" x14ac:dyDescent="0.25">
      <c r="A906" s="6">
        <v>2902962</v>
      </c>
      <c r="B906" s="6" t="s">
        <v>1134</v>
      </c>
      <c r="C906" s="77">
        <v>326688</v>
      </c>
    </row>
    <row r="907" spans="1:3" x14ac:dyDescent="0.25">
      <c r="A907" s="6">
        <v>2902963</v>
      </c>
      <c r="B907" s="6" t="s">
        <v>1135</v>
      </c>
      <c r="C907" s="77">
        <v>349355</v>
      </c>
    </row>
    <row r="908" spans="1:3" x14ac:dyDescent="0.25">
      <c r="A908" s="6">
        <v>2902964</v>
      </c>
      <c r="B908" s="6" t="s">
        <v>1136</v>
      </c>
      <c r="C908" s="77">
        <v>645715</v>
      </c>
    </row>
    <row r="909" spans="1:3" x14ac:dyDescent="0.25">
      <c r="A909" s="6">
        <v>2902965</v>
      </c>
      <c r="B909" s="6" t="s">
        <v>1137</v>
      </c>
      <c r="C909" s="77">
        <v>13774</v>
      </c>
    </row>
    <row r="910" spans="1:3" x14ac:dyDescent="0.25">
      <c r="A910" s="6">
        <v>2902969</v>
      </c>
      <c r="B910" s="6" t="s">
        <v>1138</v>
      </c>
      <c r="C910" s="77">
        <v>1111297</v>
      </c>
    </row>
    <row r="911" spans="1:3" x14ac:dyDescent="0.25">
      <c r="A911" s="6">
        <v>2902977</v>
      </c>
      <c r="B911" s="6" t="s">
        <v>1139</v>
      </c>
      <c r="C911" s="77">
        <v>475481</v>
      </c>
    </row>
    <row r="912" spans="1:3" x14ac:dyDescent="0.25">
      <c r="A912" s="6">
        <v>2902978</v>
      </c>
      <c r="B912" s="6" t="s">
        <v>1140</v>
      </c>
      <c r="C912" s="77">
        <v>234915</v>
      </c>
    </row>
    <row r="913" spans="1:3" x14ac:dyDescent="0.25">
      <c r="A913" s="6">
        <v>2902979</v>
      </c>
      <c r="B913" s="6" t="s">
        <v>1141</v>
      </c>
      <c r="C913" s="77">
        <v>261617</v>
      </c>
    </row>
    <row r="914" spans="1:3" x14ac:dyDescent="0.25">
      <c r="A914" s="6">
        <v>2902980</v>
      </c>
      <c r="B914" s="6" t="s">
        <v>1142</v>
      </c>
      <c r="C914" s="77">
        <v>306824</v>
      </c>
    </row>
    <row r="915" spans="1:3" x14ac:dyDescent="0.25">
      <c r="A915" s="6">
        <v>2902981</v>
      </c>
      <c r="B915" s="6" t="s">
        <v>1143</v>
      </c>
      <c r="C915" s="77">
        <v>261618</v>
      </c>
    </row>
    <row r="916" spans="1:3" x14ac:dyDescent="0.25">
      <c r="A916" s="6">
        <v>2902982</v>
      </c>
      <c r="B916" s="6" t="s">
        <v>1144</v>
      </c>
      <c r="C916" s="77">
        <v>261618</v>
      </c>
    </row>
    <row r="917" spans="1:3" x14ac:dyDescent="0.25">
      <c r="A917" s="6">
        <v>2902983</v>
      </c>
      <c r="B917" s="6" t="s">
        <v>1145</v>
      </c>
      <c r="C917" s="77">
        <v>261618</v>
      </c>
    </row>
    <row r="918" spans="1:3" x14ac:dyDescent="0.25">
      <c r="A918" s="6">
        <v>2902984</v>
      </c>
      <c r="B918" s="6" t="s">
        <v>1146</v>
      </c>
      <c r="C918" s="77">
        <v>234915</v>
      </c>
    </row>
    <row r="919" spans="1:3" x14ac:dyDescent="0.25">
      <c r="A919" s="6">
        <v>2902985</v>
      </c>
      <c r="B919" s="6" t="s">
        <v>1147</v>
      </c>
      <c r="C919" s="77">
        <v>437658</v>
      </c>
    </row>
    <row r="920" spans="1:3" x14ac:dyDescent="0.25">
      <c r="A920" s="6">
        <v>2902986</v>
      </c>
      <c r="B920" s="6" t="s">
        <v>1148</v>
      </c>
      <c r="C920" s="77">
        <v>479206</v>
      </c>
    </row>
    <row r="921" spans="1:3" x14ac:dyDescent="0.25">
      <c r="A921" s="6">
        <v>2902987</v>
      </c>
      <c r="B921" s="6" t="s">
        <v>1149</v>
      </c>
      <c r="C921" s="77">
        <v>478283</v>
      </c>
    </row>
    <row r="922" spans="1:3" x14ac:dyDescent="0.25">
      <c r="A922" s="6">
        <v>2902990</v>
      </c>
      <c r="B922" s="6" t="s">
        <v>1150</v>
      </c>
      <c r="C922" s="77">
        <v>468073</v>
      </c>
    </row>
    <row r="923" spans="1:3" x14ac:dyDescent="0.25">
      <c r="A923" s="6">
        <v>2902991</v>
      </c>
      <c r="B923" s="6" t="s">
        <v>1151</v>
      </c>
      <c r="C923" s="77">
        <v>42279</v>
      </c>
    </row>
    <row r="924" spans="1:3" x14ac:dyDescent="0.25">
      <c r="A924" s="6">
        <v>2902999</v>
      </c>
      <c r="B924" s="6" t="s">
        <v>1152</v>
      </c>
      <c r="C924" s="77">
        <v>91395</v>
      </c>
    </row>
    <row r="925" spans="1:3" x14ac:dyDescent="0.25">
      <c r="A925" s="6">
        <v>2903001</v>
      </c>
      <c r="B925" s="6" t="s">
        <v>1153</v>
      </c>
      <c r="C925" s="77">
        <v>1284719</v>
      </c>
    </row>
    <row r="926" spans="1:3" x14ac:dyDescent="0.25">
      <c r="A926" s="6">
        <v>2903002</v>
      </c>
      <c r="B926" s="6" t="s">
        <v>1154</v>
      </c>
      <c r="C926" s="77">
        <v>1167928</v>
      </c>
    </row>
    <row r="927" spans="1:3" x14ac:dyDescent="0.25">
      <c r="A927" s="6">
        <v>2903003</v>
      </c>
      <c r="B927" s="6" t="s">
        <v>1155</v>
      </c>
      <c r="C927" s="77">
        <v>1284719</v>
      </c>
    </row>
    <row r="928" spans="1:3" x14ac:dyDescent="0.25">
      <c r="A928" s="6">
        <v>2903004</v>
      </c>
      <c r="B928" s="6" t="s">
        <v>1156</v>
      </c>
      <c r="C928" s="77">
        <v>1167928</v>
      </c>
    </row>
    <row r="929" spans="1:3" x14ac:dyDescent="0.25">
      <c r="A929" s="6">
        <v>2903005</v>
      </c>
      <c r="B929" s="6" t="s">
        <v>1157</v>
      </c>
      <c r="C929" s="77">
        <v>1284719</v>
      </c>
    </row>
    <row r="930" spans="1:3" x14ac:dyDescent="0.25">
      <c r="A930" s="6">
        <v>2903006</v>
      </c>
      <c r="B930" s="6" t="s">
        <v>1158</v>
      </c>
      <c r="C930" s="77">
        <v>1167928</v>
      </c>
    </row>
    <row r="931" spans="1:3" x14ac:dyDescent="0.25">
      <c r="A931" s="6">
        <v>2903007</v>
      </c>
      <c r="B931" s="6" t="s">
        <v>1159</v>
      </c>
      <c r="C931" s="77">
        <v>1284719</v>
      </c>
    </row>
    <row r="932" spans="1:3" x14ac:dyDescent="0.25">
      <c r="A932" s="6">
        <v>2903008</v>
      </c>
      <c r="B932" s="6" t="s">
        <v>2858</v>
      </c>
      <c r="C932" s="77">
        <v>1556733</v>
      </c>
    </row>
    <row r="933" spans="1:3" x14ac:dyDescent="0.25">
      <c r="A933" s="6">
        <v>2903009</v>
      </c>
      <c r="B933" s="6" t="s">
        <v>1160</v>
      </c>
      <c r="C933" s="77">
        <v>1485972</v>
      </c>
    </row>
    <row r="934" spans="1:3" x14ac:dyDescent="0.25">
      <c r="A934" s="6">
        <v>2903010</v>
      </c>
      <c r="B934" s="6" t="s">
        <v>2859</v>
      </c>
      <c r="C934" s="77">
        <v>1634569</v>
      </c>
    </row>
    <row r="935" spans="1:3" x14ac:dyDescent="0.25">
      <c r="A935" s="6">
        <v>2903011</v>
      </c>
      <c r="B935" s="6" t="s">
        <v>1161</v>
      </c>
      <c r="C935" s="77">
        <v>1589378</v>
      </c>
    </row>
    <row r="936" spans="1:3" x14ac:dyDescent="0.25">
      <c r="A936" s="6">
        <v>2903012</v>
      </c>
      <c r="B936" s="6" t="s">
        <v>1162</v>
      </c>
      <c r="C936" s="77">
        <v>1748315</v>
      </c>
    </row>
    <row r="937" spans="1:3" x14ac:dyDescent="0.25">
      <c r="A937" s="6">
        <v>2903013</v>
      </c>
      <c r="B937" s="6" t="s">
        <v>1163</v>
      </c>
      <c r="C937" s="77">
        <v>1589378</v>
      </c>
    </row>
    <row r="938" spans="1:3" x14ac:dyDescent="0.25">
      <c r="A938" s="6">
        <v>2903014</v>
      </c>
      <c r="B938" s="6" t="s">
        <v>1164</v>
      </c>
      <c r="C938" s="77">
        <v>1748315</v>
      </c>
    </row>
    <row r="939" spans="1:3" x14ac:dyDescent="0.25">
      <c r="A939" s="6">
        <v>2903015</v>
      </c>
      <c r="B939" s="6" t="s">
        <v>1165</v>
      </c>
      <c r="C939" s="77">
        <v>1430519</v>
      </c>
    </row>
    <row r="940" spans="1:3" x14ac:dyDescent="0.25">
      <c r="A940" s="6">
        <v>2903016</v>
      </c>
      <c r="B940" s="6" t="s">
        <v>1166</v>
      </c>
      <c r="C940" s="77">
        <v>1589378</v>
      </c>
    </row>
    <row r="941" spans="1:3" x14ac:dyDescent="0.25">
      <c r="A941" s="6">
        <v>2903017</v>
      </c>
      <c r="B941" s="6" t="s">
        <v>1167</v>
      </c>
      <c r="C941" s="77">
        <v>1748315</v>
      </c>
    </row>
    <row r="942" spans="1:3" x14ac:dyDescent="0.25">
      <c r="A942" s="6">
        <v>2903018</v>
      </c>
      <c r="B942" s="6" t="s">
        <v>1168</v>
      </c>
      <c r="C942" s="77">
        <v>1430519</v>
      </c>
    </row>
    <row r="943" spans="1:3" x14ac:dyDescent="0.25">
      <c r="A943" s="6">
        <v>2903019</v>
      </c>
      <c r="B943" s="6" t="s">
        <v>1169</v>
      </c>
      <c r="C943" s="77">
        <v>1589378</v>
      </c>
    </row>
    <row r="944" spans="1:3" x14ac:dyDescent="0.25">
      <c r="A944" s="6">
        <v>2903020</v>
      </c>
      <c r="B944" s="6" t="s">
        <v>1170</v>
      </c>
      <c r="C944" s="77">
        <v>1748315</v>
      </c>
    </row>
    <row r="945" spans="1:3" x14ac:dyDescent="0.25">
      <c r="A945" s="6">
        <v>2903021</v>
      </c>
      <c r="B945" s="6" t="s">
        <v>1171</v>
      </c>
      <c r="C945" s="77">
        <v>1617811</v>
      </c>
    </row>
    <row r="946" spans="1:3" x14ac:dyDescent="0.25">
      <c r="A946" s="6">
        <v>2903022</v>
      </c>
      <c r="B946" s="6" t="s">
        <v>1172</v>
      </c>
      <c r="C946" s="77">
        <v>1862321</v>
      </c>
    </row>
    <row r="947" spans="1:3" x14ac:dyDescent="0.25">
      <c r="A947" s="6">
        <v>2903023</v>
      </c>
      <c r="B947" s="6" t="s">
        <v>1173</v>
      </c>
      <c r="C947" s="77">
        <v>2048553</v>
      </c>
    </row>
    <row r="948" spans="1:3" x14ac:dyDescent="0.25">
      <c r="A948" s="6">
        <v>2903024</v>
      </c>
      <c r="B948" s="6" t="s">
        <v>1174</v>
      </c>
      <c r="C948" s="77">
        <v>1805103</v>
      </c>
    </row>
    <row r="949" spans="1:3" x14ac:dyDescent="0.25">
      <c r="A949" s="6">
        <v>2903025</v>
      </c>
      <c r="B949" s="6" t="s">
        <v>2860</v>
      </c>
      <c r="C949" s="77">
        <v>2122822</v>
      </c>
    </row>
    <row r="950" spans="1:3" x14ac:dyDescent="0.25">
      <c r="A950" s="6">
        <v>2903026</v>
      </c>
      <c r="B950" s="6" t="s">
        <v>1175</v>
      </c>
      <c r="C950" s="77">
        <v>2335105</v>
      </c>
    </row>
    <row r="951" spans="1:3" x14ac:dyDescent="0.25">
      <c r="A951" s="6">
        <v>2903027</v>
      </c>
      <c r="B951" s="6" t="s">
        <v>1176</v>
      </c>
      <c r="C951" s="77">
        <v>290925</v>
      </c>
    </row>
    <row r="952" spans="1:3" x14ac:dyDescent="0.25">
      <c r="A952" s="6">
        <v>2903032</v>
      </c>
      <c r="B952" s="6" t="s">
        <v>1177</v>
      </c>
      <c r="C952" s="77">
        <v>557428</v>
      </c>
    </row>
    <row r="953" spans="1:3" x14ac:dyDescent="0.25">
      <c r="A953" s="6">
        <v>2903033</v>
      </c>
      <c r="B953" s="6" t="s">
        <v>1178</v>
      </c>
      <c r="C953" s="77">
        <v>610809</v>
      </c>
    </row>
    <row r="954" spans="1:3" x14ac:dyDescent="0.25">
      <c r="A954" s="6">
        <v>2903034</v>
      </c>
      <c r="B954" s="6" t="s">
        <v>1179</v>
      </c>
      <c r="C954" s="77">
        <v>666625</v>
      </c>
    </row>
    <row r="955" spans="1:3" x14ac:dyDescent="0.25">
      <c r="A955" s="6">
        <v>2903035</v>
      </c>
      <c r="B955" s="6" t="s">
        <v>2861</v>
      </c>
      <c r="C955" s="77">
        <v>712696</v>
      </c>
    </row>
    <row r="956" spans="1:3" x14ac:dyDescent="0.25">
      <c r="A956" s="6">
        <v>2903036</v>
      </c>
      <c r="B956" s="6" t="s">
        <v>2862</v>
      </c>
      <c r="C956" s="77">
        <v>772174</v>
      </c>
    </row>
    <row r="957" spans="1:3" x14ac:dyDescent="0.25">
      <c r="A957" s="6">
        <v>2903037</v>
      </c>
      <c r="B957" s="6" t="s">
        <v>1180</v>
      </c>
      <c r="C957" s="77">
        <v>818247</v>
      </c>
    </row>
    <row r="958" spans="1:3" x14ac:dyDescent="0.25">
      <c r="A958" s="6">
        <v>2903038</v>
      </c>
      <c r="B958" s="6" t="s">
        <v>2863</v>
      </c>
      <c r="C958" s="77">
        <v>884628</v>
      </c>
    </row>
    <row r="959" spans="1:3" x14ac:dyDescent="0.25">
      <c r="A959" s="6">
        <v>2903039</v>
      </c>
      <c r="B959" s="6" t="s">
        <v>2864</v>
      </c>
      <c r="C959" s="77">
        <v>930696</v>
      </c>
    </row>
    <row r="960" spans="1:3" x14ac:dyDescent="0.25">
      <c r="A960" s="6">
        <v>2903040</v>
      </c>
      <c r="B960" s="6" t="s">
        <v>2865</v>
      </c>
      <c r="C960" s="77">
        <v>1010463</v>
      </c>
    </row>
    <row r="961" spans="1:3" x14ac:dyDescent="0.25">
      <c r="A961" s="6">
        <v>2903041</v>
      </c>
      <c r="B961" s="6" t="s">
        <v>1181</v>
      </c>
      <c r="C961" s="77">
        <v>1056537</v>
      </c>
    </row>
    <row r="962" spans="1:3" x14ac:dyDescent="0.25">
      <c r="A962" s="6">
        <v>2903042</v>
      </c>
      <c r="B962" s="6" t="s">
        <v>1182</v>
      </c>
      <c r="C962" s="77">
        <v>700881</v>
      </c>
    </row>
    <row r="963" spans="1:3" x14ac:dyDescent="0.25">
      <c r="A963" s="6">
        <v>2903043</v>
      </c>
      <c r="B963" s="6" t="s">
        <v>1183</v>
      </c>
      <c r="C963" s="77">
        <v>768401</v>
      </c>
    </row>
    <row r="964" spans="1:3" x14ac:dyDescent="0.25">
      <c r="A964" s="6">
        <v>2903044</v>
      </c>
      <c r="B964" s="6" t="s">
        <v>1184</v>
      </c>
      <c r="C964" s="77">
        <v>944013</v>
      </c>
    </row>
    <row r="965" spans="1:3" x14ac:dyDescent="0.25">
      <c r="A965" s="6">
        <v>2903045</v>
      </c>
      <c r="B965" s="6" t="s">
        <v>1185</v>
      </c>
      <c r="C965" s="77">
        <v>1121703</v>
      </c>
    </row>
    <row r="966" spans="1:3" x14ac:dyDescent="0.25">
      <c r="A966" s="6">
        <v>2903046</v>
      </c>
      <c r="B966" s="6" t="s">
        <v>1186</v>
      </c>
      <c r="C966" s="77">
        <v>1296557</v>
      </c>
    </row>
    <row r="967" spans="1:3" x14ac:dyDescent="0.25">
      <c r="A967" s="6">
        <v>2903047</v>
      </c>
      <c r="B967" s="6" t="s">
        <v>1187</v>
      </c>
      <c r="C967" s="77">
        <v>1451074</v>
      </c>
    </row>
    <row r="968" spans="1:3" x14ac:dyDescent="0.25">
      <c r="A968" s="6">
        <v>2903048</v>
      </c>
      <c r="B968" s="6" t="s">
        <v>1188</v>
      </c>
      <c r="C968" s="77">
        <v>1639309</v>
      </c>
    </row>
    <row r="969" spans="1:3" x14ac:dyDescent="0.25">
      <c r="A969" s="6">
        <v>2903049</v>
      </c>
      <c r="B969" s="6" t="s">
        <v>1189</v>
      </c>
      <c r="C969" s="77">
        <v>1793850</v>
      </c>
    </row>
    <row r="970" spans="1:3" x14ac:dyDescent="0.25">
      <c r="A970" s="6">
        <v>2903050</v>
      </c>
      <c r="B970" s="6" t="s">
        <v>1190</v>
      </c>
      <c r="C970" s="77">
        <v>2016172</v>
      </c>
    </row>
    <row r="971" spans="1:3" x14ac:dyDescent="0.25">
      <c r="A971" s="6">
        <v>2903051</v>
      </c>
      <c r="B971" s="6" t="s">
        <v>1191</v>
      </c>
      <c r="C971" s="77">
        <v>2170211</v>
      </c>
    </row>
    <row r="972" spans="1:3" x14ac:dyDescent="0.25">
      <c r="A972" s="6">
        <v>2903052</v>
      </c>
      <c r="B972" s="6" t="s">
        <v>1192</v>
      </c>
      <c r="C972" s="77">
        <v>2325257</v>
      </c>
    </row>
    <row r="973" spans="1:3" x14ac:dyDescent="0.25">
      <c r="A973" s="6">
        <v>2903053</v>
      </c>
      <c r="B973" s="6" t="s">
        <v>1193</v>
      </c>
      <c r="C973" s="77">
        <v>2479791</v>
      </c>
    </row>
    <row r="974" spans="1:3" x14ac:dyDescent="0.25">
      <c r="A974" s="6">
        <v>2903054</v>
      </c>
      <c r="B974" s="6" t="s">
        <v>2866</v>
      </c>
      <c r="C974" s="77">
        <v>2634327</v>
      </c>
    </row>
    <row r="975" spans="1:3" x14ac:dyDescent="0.25">
      <c r="A975" s="6">
        <v>2903055</v>
      </c>
      <c r="B975" s="6" t="s">
        <v>1194</v>
      </c>
      <c r="C975" s="77">
        <v>2991848</v>
      </c>
    </row>
    <row r="976" spans="1:3" x14ac:dyDescent="0.25">
      <c r="A976" s="6">
        <v>2903056</v>
      </c>
      <c r="B976" s="6" t="s">
        <v>2867</v>
      </c>
      <c r="C976" s="77">
        <v>3146374</v>
      </c>
    </row>
    <row r="977" spans="1:3" x14ac:dyDescent="0.25">
      <c r="A977" s="6">
        <v>2903057</v>
      </c>
      <c r="B977" s="6" t="s">
        <v>1195</v>
      </c>
      <c r="C977" s="77">
        <v>561492</v>
      </c>
    </row>
    <row r="978" spans="1:3" x14ac:dyDescent="0.25">
      <c r="A978" s="6">
        <v>2903058</v>
      </c>
      <c r="B978" s="6" t="s">
        <v>1196</v>
      </c>
      <c r="C978" s="77">
        <v>561492</v>
      </c>
    </row>
    <row r="979" spans="1:3" x14ac:dyDescent="0.25">
      <c r="A979" s="6">
        <v>2903059</v>
      </c>
      <c r="B979" s="6" t="s">
        <v>2868</v>
      </c>
      <c r="C979" s="77">
        <v>916274</v>
      </c>
    </row>
    <row r="980" spans="1:3" x14ac:dyDescent="0.25">
      <c r="A980" s="6">
        <v>2903061</v>
      </c>
      <c r="B980" s="6" t="s">
        <v>1197</v>
      </c>
      <c r="C980" s="77">
        <v>1187076</v>
      </c>
    </row>
    <row r="981" spans="1:3" x14ac:dyDescent="0.25">
      <c r="A981" s="6">
        <v>2903062</v>
      </c>
      <c r="B981" s="6" t="s">
        <v>1198</v>
      </c>
      <c r="C981" s="77">
        <v>969786</v>
      </c>
    </row>
    <row r="982" spans="1:3" x14ac:dyDescent="0.25">
      <c r="A982" s="6">
        <v>2903063</v>
      </c>
      <c r="B982" s="6" t="s">
        <v>2869</v>
      </c>
      <c r="C982" s="77">
        <v>257234</v>
      </c>
    </row>
    <row r="983" spans="1:3" x14ac:dyDescent="0.25">
      <c r="A983" s="6">
        <v>2903066</v>
      </c>
      <c r="B983" s="6" t="s">
        <v>1199</v>
      </c>
      <c r="C983" s="77">
        <v>92220</v>
      </c>
    </row>
    <row r="984" spans="1:3" x14ac:dyDescent="0.25">
      <c r="A984" s="6">
        <v>2903067</v>
      </c>
      <c r="B984" s="6" t="s">
        <v>1200</v>
      </c>
      <c r="C984" s="77">
        <v>293230</v>
      </c>
    </row>
    <row r="985" spans="1:3" x14ac:dyDescent="0.25">
      <c r="A985" s="6">
        <v>2903069</v>
      </c>
      <c r="B985" s="6" t="s">
        <v>1201</v>
      </c>
      <c r="C985" s="77">
        <v>400326</v>
      </c>
    </row>
    <row r="986" spans="1:3" x14ac:dyDescent="0.25">
      <c r="A986" s="6">
        <v>2903070</v>
      </c>
      <c r="B986" s="6" t="s">
        <v>1202</v>
      </c>
      <c r="C986" s="77">
        <v>75920</v>
      </c>
    </row>
    <row r="987" spans="1:3" x14ac:dyDescent="0.25">
      <c r="A987" s="6">
        <v>2903071</v>
      </c>
      <c r="B987" s="6" t="s">
        <v>1203</v>
      </c>
      <c r="C987" s="77">
        <v>484968</v>
      </c>
    </row>
    <row r="988" spans="1:3" x14ac:dyDescent="0.25">
      <c r="A988" s="6">
        <v>2903072</v>
      </c>
      <c r="B988" s="6" t="s">
        <v>1204</v>
      </c>
      <c r="C988" s="77">
        <v>97731</v>
      </c>
    </row>
    <row r="989" spans="1:3" x14ac:dyDescent="0.25">
      <c r="A989" s="6">
        <v>2903073</v>
      </c>
      <c r="B989" s="6" t="s">
        <v>1205</v>
      </c>
      <c r="C989" s="77">
        <v>1256705</v>
      </c>
    </row>
    <row r="990" spans="1:3" x14ac:dyDescent="0.25">
      <c r="A990" s="6">
        <v>2903074</v>
      </c>
      <c r="B990" s="6" t="s">
        <v>2870</v>
      </c>
      <c r="C990" s="77">
        <v>1328357</v>
      </c>
    </row>
    <row r="991" spans="1:3" x14ac:dyDescent="0.25">
      <c r="A991" s="6">
        <v>2903075</v>
      </c>
      <c r="B991" s="6" t="s">
        <v>1206</v>
      </c>
      <c r="C991" s="77">
        <v>1461194</v>
      </c>
    </row>
    <row r="992" spans="1:3" x14ac:dyDescent="0.25">
      <c r="A992" s="6">
        <v>2903080</v>
      </c>
      <c r="B992" s="6" t="s">
        <v>1207</v>
      </c>
      <c r="C992" s="77">
        <v>826442</v>
      </c>
    </row>
    <row r="993" spans="1:3" x14ac:dyDescent="0.25">
      <c r="A993" s="6">
        <v>2903081</v>
      </c>
      <c r="B993" s="6" t="s">
        <v>1208</v>
      </c>
      <c r="C993" s="77">
        <v>902502</v>
      </c>
    </row>
    <row r="994" spans="1:3" x14ac:dyDescent="0.25">
      <c r="A994" s="6">
        <v>2903082</v>
      </c>
      <c r="B994" s="6" t="s">
        <v>1209</v>
      </c>
      <c r="C994" s="77">
        <v>992752</v>
      </c>
    </row>
    <row r="995" spans="1:3" x14ac:dyDescent="0.25">
      <c r="A995" s="6">
        <v>2903085</v>
      </c>
      <c r="B995" s="6" t="s">
        <v>1210</v>
      </c>
      <c r="C995" s="77">
        <v>78919</v>
      </c>
    </row>
    <row r="996" spans="1:3" x14ac:dyDescent="0.25">
      <c r="A996" s="6">
        <v>2903086</v>
      </c>
      <c r="B996" s="6" t="s">
        <v>1211</v>
      </c>
      <c r="C996" s="77">
        <v>86988</v>
      </c>
    </row>
    <row r="997" spans="1:3" x14ac:dyDescent="0.25">
      <c r="A997" s="6">
        <v>2903087</v>
      </c>
      <c r="B997" s="6" t="s">
        <v>1212</v>
      </c>
      <c r="C997" s="77">
        <v>95608</v>
      </c>
    </row>
    <row r="998" spans="1:3" x14ac:dyDescent="0.25">
      <c r="A998" s="6">
        <v>2903092</v>
      </c>
      <c r="B998" s="6" t="s">
        <v>1213</v>
      </c>
      <c r="C998" s="77">
        <v>56885</v>
      </c>
    </row>
    <row r="999" spans="1:3" x14ac:dyDescent="0.25">
      <c r="A999" s="6">
        <v>2903093</v>
      </c>
      <c r="B999" s="6" t="s">
        <v>1214</v>
      </c>
      <c r="C999" s="77">
        <v>143088</v>
      </c>
    </row>
    <row r="1000" spans="1:3" x14ac:dyDescent="0.25">
      <c r="A1000" s="6">
        <v>2903094</v>
      </c>
      <c r="B1000" s="6" t="s">
        <v>1215</v>
      </c>
      <c r="C1000" s="77">
        <v>234915</v>
      </c>
    </row>
    <row r="1001" spans="1:3" x14ac:dyDescent="0.25">
      <c r="A1001" s="6">
        <v>2903095</v>
      </c>
      <c r="B1001" s="6" t="s">
        <v>1216</v>
      </c>
      <c r="C1001" s="77">
        <v>234915</v>
      </c>
    </row>
    <row r="1002" spans="1:3" x14ac:dyDescent="0.25">
      <c r="A1002" s="6">
        <v>2903096</v>
      </c>
      <c r="B1002" s="6" t="s">
        <v>2871</v>
      </c>
      <c r="C1002" s="77">
        <v>286856</v>
      </c>
    </row>
    <row r="1003" spans="1:3" x14ac:dyDescent="0.25">
      <c r="A1003" s="6">
        <v>2903097</v>
      </c>
      <c r="B1003" s="6" t="s">
        <v>1217</v>
      </c>
      <c r="C1003" s="77">
        <v>286856</v>
      </c>
    </row>
    <row r="1004" spans="1:3" x14ac:dyDescent="0.25">
      <c r="A1004" s="6">
        <v>2903102</v>
      </c>
      <c r="B1004" s="6" t="s">
        <v>1218</v>
      </c>
      <c r="C1004" s="77">
        <v>1377249</v>
      </c>
    </row>
    <row r="1005" spans="1:3" x14ac:dyDescent="0.25">
      <c r="A1005" s="6">
        <v>2903107</v>
      </c>
      <c r="B1005" s="6" t="s">
        <v>1219</v>
      </c>
      <c r="C1005" s="77">
        <v>476886</v>
      </c>
    </row>
    <row r="1006" spans="1:3" x14ac:dyDescent="0.25">
      <c r="A1006" s="6">
        <v>2903108</v>
      </c>
      <c r="B1006" s="6" t="s">
        <v>1220</v>
      </c>
      <c r="C1006" s="77">
        <v>445878</v>
      </c>
    </row>
    <row r="1007" spans="1:3" x14ac:dyDescent="0.25">
      <c r="A1007" s="6">
        <v>2903109</v>
      </c>
      <c r="B1007" s="6" t="s">
        <v>1221</v>
      </c>
      <c r="C1007" s="77">
        <v>653863</v>
      </c>
    </row>
    <row r="1008" spans="1:3" x14ac:dyDescent="0.25">
      <c r="A1008" s="6">
        <v>2903110</v>
      </c>
      <c r="B1008" s="6" t="s">
        <v>1222</v>
      </c>
      <c r="C1008" s="77">
        <v>735700</v>
      </c>
    </row>
    <row r="1009" spans="1:3" x14ac:dyDescent="0.25">
      <c r="A1009" s="6">
        <v>2903111</v>
      </c>
      <c r="B1009" s="6" t="s">
        <v>1223</v>
      </c>
      <c r="C1009" s="77">
        <v>261617</v>
      </c>
    </row>
    <row r="1010" spans="1:3" x14ac:dyDescent="0.25">
      <c r="A1010" s="6">
        <v>2903112</v>
      </c>
      <c r="B1010" s="6" t="s">
        <v>1224</v>
      </c>
      <c r="C1010" s="77">
        <v>384186</v>
      </c>
    </row>
    <row r="1011" spans="1:3" x14ac:dyDescent="0.25">
      <c r="A1011" s="6">
        <v>2903113</v>
      </c>
      <c r="B1011" s="6" t="s">
        <v>1225</v>
      </c>
      <c r="C1011" s="77">
        <v>166213</v>
      </c>
    </row>
    <row r="1012" spans="1:3" x14ac:dyDescent="0.25">
      <c r="A1012" s="6">
        <v>2903122</v>
      </c>
      <c r="B1012" s="6" t="s">
        <v>1226</v>
      </c>
      <c r="C1012" s="77">
        <v>1169681</v>
      </c>
    </row>
    <row r="1013" spans="1:3" x14ac:dyDescent="0.25">
      <c r="A1013" s="6">
        <v>2903125</v>
      </c>
      <c r="B1013" s="6" t="s">
        <v>1227</v>
      </c>
      <c r="C1013" s="77">
        <v>469497</v>
      </c>
    </row>
    <row r="1014" spans="1:3" x14ac:dyDescent="0.25">
      <c r="A1014" s="6">
        <v>2903136</v>
      </c>
      <c r="B1014" s="6" t="s">
        <v>1228</v>
      </c>
      <c r="C1014" s="77">
        <v>121667</v>
      </c>
    </row>
    <row r="1015" spans="1:3" x14ac:dyDescent="0.25">
      <c r="A1015" s="6">
        <v>2903140</v>
      </c>
      <c r="B1015" s="6" t="s">
        <v>1229</v>
      </c>
      <c r="C1015" s="77">
        <v>2216</v>
      </c>
    </row>
    <row r="1016" spans="1:3" x14ac:dyDescent="0.25">
      <c r="A1016" s="6">
        <v>2903141</v>
      </c>
      <c r="B1016" s="6" t="s">
        <v>1230</v>
      </c>
      <c r="C1016" s="77">
        <v>13901</v>
      </c>
    </row>
    <row r="1017" spans="1:3" x14ac:dyDescent="0.25">
      <c r="A1017" s="6">
        <v>2903142</v>
      </c>
      <c r="B1017" s="6" t="s">
        <v>1231</v>
      </c>
      <c r="C1017" s="77">
        <v>8375</v>
      </c>
    </row>
    <row r="1018" spans="1:3" x14ac:dyDescent="0.25">
      <c r="A1018" s="6">
        <v>2903143</v>
      </c>
      <c r="B1018" s="6" t="s">
        <v>1232</v>
      </c>
      <c r="C1018" s="77">
        <v>8375</v>
      </c>
    </row>
    <row r="1019" spans="1:3" x14ac:dyDescent="0.25">
      <c r="A1019" s="6">
        <v>2903144</v>
      </c>
      <c r="B1019" s="6" t="s">
        <v>1233</v>
      </c>
      <c r="C1019" s="77">
        <v>2540</v>
      </c>
    </row>
    <row r="1020" spans="1:3" x14ac:dyDescent="0.25">
      <c r="A1020" s="6">
        <v>2903146</v>
      </c>
      <c r="B1020" s="6" t="s">
        <v>1234</v>
      </c>
      <c r="C1020" s="77">
        <v>21868</v>
      </c>
    </row>
    <row r="1021" spans="1:3" x14ac:dyDescent="0.25">
      <c r="A1021" s="6">
        <v>2903147</v>
      </c>
      <c r="B1021" s="6" t="s">
        <v>1235</v>
      </c>
      <c r="C1021" s="77">
        <v>5701</v>
      </c>
    </row>
    <row r="1022" spans="1:3" x14ac:dyDescent="0.25">
      <c r="A1022" s="6">
        <v>2903149</v>
      </c>
      <c r="B1022" s="6" t="s">
        <v>1236</v>
      </c>
      <c r="C1022" s="77">
        <v>4444</v>
      </c>
    </row>
    <row r="1023" spans="1:3" x14ac:dyDescent="0.25">
      <c r="A1023" s="6">
        <v>2903150</v>
      </c>
      <c r="B1023" s="6" t="s">
        <v>1237</v>
      </c>
      <c r="C1023" s="77">
        <v>4696</v>
      </c>
    </row>
    <row r="1024" spans="1:3" x14ac:dyDescent="0.25">
      <c r="A1024" s="6">
        <v>2903153</v>
      </c>
      <c r="B1024" s="6" t="s">
        <v>1238</v>
      </c>
      <c r="C1024" s="77">
        <v>6233</v>
      </c>
    </row>
    <row r="1025" spans="1:3" x14ac:dyDescent="0.25">
      <c r="A1025" s="6">
        <v>2903154</v>
      </c>
      <c r="B1025" s="6" t="s">
        <v>1239</v>
      </c>
      <c r="C1025" s="77">
        <v>9518</v>
      </c>
    </row>
    <row r="1026" spans="1:3" x14ac:dyDescent="0.25">
      <c r="A1026" s="6">
        <v>2903155</v>
      </c>
      <c r="B1026" s="6" t="s">
        <v>1240</v>
      </c>
      <c r="C1026" s="77">
        <v>41161</v>
      </c>
    </row>
    <row r="1027" spans="1:3" x14ac:dyDescent="0.25">
      <c r="A1027" s="6">
        <v>2903156</v>
      </c>
      <c r="B1027" s="6" t="s">
        <v>1241</v>
      </c>
      <c r="C1027" s="77">
        <v>57333</v>
      </c>
    </row>
    <row r="1028" spans="1:3" x14ac:dyDescent="0.25">
      <c r="A1028" s="6">
        <v>2903166</v>
      </c>
      <c r="B1028" s="6" t="s">
        <v>1242</v>
      </c>
      <c r="C1028" s="77">
        <v>12480</v>
      </c>
    </row>
    <row r="1029" spans="1:3" x14ac:dyDescent="0.25">
      <c r="A1029" s="6">
        <v>2903167</v>
      </c>
      <c r="B1029" s="6" t="s">
        <v>1243</v>
      </c>
      <c r="C1029" s="77">
        <v>5777</v>
      </c>
    </row>
    <row r="1030" spans="1:3" x14ac:dyDescent="0.25">
      <c r="A1030" s="6">
        <v>2903168</v>
      </c>
      <c r="B1030" s="6" t="s">
        <v>1244</v>
      </c>
      <c r="C1030" s="77">
        <v>8667</v>
      </c>
    </row>
    <row r="1031" spans="1:3" x14ac:dyDescent="0.25">
      <c r="A1031" s="6">
        <v>2903169</v>
      </c>
      <c r="B1031" s="6" t="s">
        <v>1245</v>
      </c>
      <c r="C1031" s="77">
        <v>63711</v>
      </c>
    </row>
    <row r="1032" spans="1:3" x14ac:dyDescent="0.25">
      <c r="A1032" s="6">
        <v>2903170</v>
      </c>
      <c r="B1032" s="6" t="s">
        <v>1246</v>
      </c>
      <c r="C1032" s="77">
        <v>18789</v>
      </c>
    </row>
    <row r="1033" spans="1:3" x14ac:dyDescent="0.25">
      <c r="A1033" s="6">
        <v>2903171</v>
      </c>
      <c r="B1033" s="6" t="s">
        <v>1247</v>
      </c>
      <c r="C1033" s="77">
        <v>39462</v>
      </c>
    </row>
    <row r="1034" spans="1:3" x14ac:dyDescent="0.25">
      <c r="A1034" s="6">
        <v>2903173</v>
      </c>
      <c r="B1034" s="6" t="s">
        <v>1248</v>
      </c>
      <c r="C1034" s="77">
        <v>219537</v>
      </c>
    </row>
    <row r="1035" spans="1:3" x14ac:dyDescent="0.25">
      <c r="A1035" s="6">
        <v>2903183</v>
      </c>
      <c r="B1035" s="6" t="s">
        <v>1249</v>
      </c>
      <c r="C1035" s="77">
        <v>8814</v>
      </c>
    </row>
    <row r="1036" spans="1:3" x14ac:dyDescent="0.25">
      <c r="A1036" s="6">
        <v>2903188</v>
      </c>
      <c r="B1036" s="6" t="s">
        <v>1250</v>
      </c>
      <c r="C1036" s="77">
        <v>132006</v>
      </c>
    </row>
    <row r="1037" spans="1:3" x14ac:dyDescent="0.25">
      <c r="A1037" s="6">
        <v>2903189</v>
      </c>
      <c r="B1037" s="6" t="s">
        <v>1251</v>
      </c>
      <c r="C1037" s="77">
        <v>228663</v>
      </c>
    </row>
    <row r="1038" spans="1:3" x14ac:dyDescent="0.25">
      <c r="A1038" s="6">
        <v>2903190</v>
      </c>
      <c r="B1038" s="6" t="s">
        <v>1252</v>
      </c>
      <c r="C1038" s="77">
        <v>246484</v>
      </c>
    </row>
    <row r="1039" spans="1:3" x14ac:dyDescent="0.25">
      <c r="A1039" s="6">
        <v>2903191</v>
      </c>
      <c r="B1039" s="6" t="s">
        <v>1253</v>
      </c>
      <c r="C1039" s="77">
        <v>351714</v>
      </c>
    </row>
    <row r="1040" spans="1:3" x14ac:dyDescent="0.25">
      <c r="A1040" s="6">
        <v>2903192</v>
      </c>
      <c r="B1040" s="6" t="s">
        <v>1254</v>
      </c>
      <c r="C1040" s="77">
        <v>393101</v>
      </c>
    </row>
    <row r="1041" spans="1:3" x14ac:dyDescent="0.25">
      <c r="A1041" s="6">
        <v>2903193</v>
      </c>
      <c r="B1041" s="6" t="s">
        <v>1255</v>
      </c>
      <c r="C1041" s="77">
        <v>936351</v>
      </c>
    </row>
    <row r="1042" spans="1:3" x14ac:dyDescent="0.25">
      <c r="A1042" s="6">
        <v>2903194</v>
      </c>
      <c r="B1042" s="6" t="s">
        <v>1256</v>
      </c>
      <c r="C1042" s="77">
        <v>1043089</v>
      </c>
    </row>
    <row r="1043" spans="1:3" x14ac:dyDescent="0.25">
      <c r="A1043" s="6">
        <v>2903197</v>
      </c>
      <c r="B1043" s="6" t="s">
        <v>1257</v>
      </c>
      <c r="C1043" s="77">
        <v>51763</v>
      </c>
    </row>
    <row r="1044" spans="1:3" x14ac:dyDescent="0.25">
      <c r="A1044" s="6">
        <v>2903199</v>
      </c>
      <c r="B1044" s="6" t="s">
        <v>2872</v>
      </c>
      <c r="C1044" s="77">
        <v>74051</v>
      </c>
    </row>
    <row r="1045" spans="1:3" x14ac:dyDescent="0.25">
      <c r="A1045" s="6">
        <v>2903201</v>
      </c>
      <c r="B1045" s="6" t="s">
        <v>1258</v>
      </c>
      <c r="C1045" s="77">
        <v>165134</v>
      </c>
    </row>
    <row r="1046" spans="1:3" x14ac:dyDescent="0.25">
      <c r="A1046" s="6">
        <v>2903203</v>
      </c>
      <c r="B1046" s="6" t="s">
        <v>1259</v>
      </c>
      <c r="C1046" s="77">
        <v>341559</v>
      </c>
    </row>
    <row r="1047" spans="1:3" x14ac:dyDescent="0.25">
      <c r="A1047" s="6">
        <v>2903204</v>
      </c>
      <c r="B1047" s="6" t="s">
        <v>1260</v>
      </c>
      <c r="C1047" s="77">
        <v>351714</v>
      </c>
    </row>
    <row r="1048" spans="1:3" x14ac:dyDescent="0.25">
      <c r="A1048" s="6">
        <v>2903205</v>
      </c>
      <c r="B1048" s="6" t="s">
        <v>1261</v>
      </c>
      <c r="C1048" s="77">
        <v>492949</v>
      </c>
    </row>
    <row r="1049" spans="1:3" x14ac:dyDescent="0.25">
      <c r="A1049" s="6">
        <v>2903206</v>
      </c>
      <c r="B1049" s="6" t="s">
        <v>1262</v>
      </c>
      <c r="C1049" s="77">
        <v>985288</v>
      </c>
    </row>
    <row r="1050" spans="1:3" x14ac:dyDescent="0.25">
      <c r="A1050" s="6">
        <v>2903207</v>
      </c>
      <c r="B1050" s="6" t="s">
        <v>1263</v>
      </c>
      <c r="C1050" s="77">
        <v>1177041</v>
      </c>
    </row>
    <row r="1051" spans="1:3" x14ac:dyDescent="0.25">
      <c r="A1051" s="6">
        <v>2903209</v>
      </c>
      <c r="B1051" s="6" t="s">
        <v>1264</v>
      </c>
      <c r="C1051" s="77">
        <v>61098</v>
      </c>
    </row>
    <row r="1052" spans="1:3" x14ac:dyDescent="0.25">
      <c r="A1052" s="6">
        <v>2903211</v>
      </c>
      <c r="B1052" s="6" t="s">
        <v>1265</v>
      </c>
      <c r="C1052" s="77">
        <v>82200</v>
      </c>
    </row>
    <row r="1053" spans="1:3" x14ac:dyDescent="0.25">
      <c r="A1053" s="6">
        <v>2903214</v>
      </c>
      <c r="B1053" s="6" t="s">
        <v>1266</v>
      </c>
      <c r="C1053" s="77">
        <v>39013</v>
      </c>
    </row>
    <row r="1054" spans="1:3" x14ac:dyDescent="0.25">
      <c r="A1054" s="6">
        <v>2903216</v>
      </c>
      <c r="B1054" s="6" t="s">
        <v>1267</v>
      </c>
      <c r="C1054" s="77">
        <v>39013</v>
      </c>
    </row>
    <row r="1055" spans="1:3" x14ac:dyDescent="0.25">
      <c r="A1055" s="6">
        <v>2903218</v>
      </c>
      <c r="B1055" s="6" t="s">
        <v>1268</v>
      </c>
      <c r="C1055" s="77">
        <v>39013</v>
      </c>
    </row>
    <row r="1056" spans="1:3" x14ac:dyDescent="0.25">
      <c r="A1056" s="6">
        <v>2903220</v>
      </c>
      <c r="B1056" s="6" t="s">
        <v>1269</v>
      </c>
      <c r="C1056" s="77">
        <v>64189</v>
      </c>
    </row>
    <row r="1057" spans="1:3" x14ac:dyDescent="0.25">
      <c r="A1057" s="6">
        <v>2903221</v>
      </c>
      <c r="B1057" s="6" t="s">
        <v>1270</v>
      </c>
      <c r="C1057" s="77">
        <v>95557</v>
      </c>
    </row>
    <row r="1058" spans="1:3" x14ac:dyDescent="0.25">
      <c r="A1058" s="6">
        <v>2903222</v>
      </c>
      <c r="B1058" s="6" t="s">
        <v>1271</v>
      </c>
      <c r="C1058" s="77">
        <v>59135</v>
      </c>
    </row>
    <row r="1059" spans="1:3" x14ac:dyDescent="0.25">
      <c r="A1059" s="6">
        <v>2903224</v>
      </c>
      <c r="B1059" s="6" t="s">
        <v>1272</v>
      </c>
      <c r="C1059" s="77">
        <v>64189</v>
      </c>
    </row>
    <row r="1060" spans="1:3" x14ac:dyDescent="0.25">
      <c r="A1060" s="6">
        <v>2903225</v>
      </c>
      <c r="B1060" s="6" t="s">
        <v>1273</v>
      </c>
      <c r="C1060" s="77">
        <v>27972</v>
      </c>
    </row>
    <row r="1061" spans="1:3" x14ac:dyDescent="0.25">
      <c r="A1061" s="6">
        <v>2903226</v>
      </c>
      <c r="B1061" s="6" t="s">
        <v>1274</v>
      </c>
      <c r="C1061" s="77">
        <v>27972</v>
      </c>
    </row>
    <row r="1062" spans="1:3" x14ac:dyDescent="0.25">
      <c r="A1062" s="6">
        <v>2903227</v>
      </c>
      <c r="B1062" s="6" t="s">
        <v>2873</v>
      </c>
      <c r="C1062" s="77">
        <v>27972</v>
      </c>
    </row>
    <row r="1063" spans="1:3" x14ac:dyDescent="0.25">
      <c r="A1063" s="6">
        <v>2903228</v>
      </c>
      <c r="B1063" s="6" t="s">
        <v>1275</v>
      </c>
      <c r="C1063" s="77">
        <v>34059</v>
      </c>
    </row>
    <row r="1064" spans="1:3" x14ac:dyDescent="0.25">
      <c r="A1064" s="6">
        <v>2903229</v>
      </c>
      <c r="B1064" s="6" t="s">
        <v>1276</v>
      </c>
      <c r="C1064" s="77">
        <v>32703</v>
      </c>
    </row>
    <row r="1065" spans="1:3" x14ac:dyDescent="0.25">
      <c r="A1065" s="6">
        <v>2903236</v>
      </c>
      <c r="B1065" s="6" t="s">
        <v>1277</v>
      </c>
      <c r="C1065" s="77">
        <v>5162</v>
      </c>
    </row>
    <row r="1066" spans="1:3" x14ac:dyDescent="0.25">
      <c r="A1066" s="6">
        <v>2903239</v>
      </c>
      <c r="B1066" s="6" t="s">
        <v>1278</v>
      </c>
      <c r="C1066" s="77">
        <v>97673</v>
      </c>
    </row>
    <row r="1067" spans="1:3" x14ac:dyDescent="0.25">
      <c r="A1067" s="6">
        <v>2903240</v>
      </c>
      <c r="B1067" s="6" t="s">
        <v>1279</v>
      </c>
      <c r="C1067" s="77">
        <v>128749</v>
      </c>
    </row>
    <row r="1068" spans="1:3" x14ac:dyDescent="0.25">
      <c r="A1068" s="6">
        <v>2903241</v>
      </c>
      <c r="B1068" s="6" t="s">
        <v>1280</v>
      </c>
      <c r="C1068" s="77">
        <v>170926</v>
      </c>
    </row>
    <row r="1069" spans="1:3" x14ac:dyDescent="0.25">
      <c r="A1069" s="6">
        <v>2903242</v>
      </c>
      <c r="B1069" s="6" t="s">
        <v>1281</v>
      </c>
      <c r="C1069" s="77">
        <v>301896</v>
      </c>
    </row>
    <row r="1070" spans="1:3" x14ac:dyDescent="0.25">
      <c r="A1070" s="6">
        <v>2903243</v>
      </c>
      <c r="B1070" s="6" t="s">
        <v>1282</v>
      </c>
      <c r="C1070" s="77">
        <v>64374</v>
      </c>
    </row>
    <row r="1071" spans="1:3" x14ac:dyDescent="0.25">
      <c r="A1071" s="6">
        <v>2903244</v>
      </c>
      <c r="B1071" s="6" t="s">
        <v>1283</v>
      </c>
      <c r="C1071" s="77">
        <v>77694</v>
      </c>
    </row>
    <row r="1072" spans="1:3" x14ac:dyDescent="0.25">
      <c r="A1072" s="6">
        <v>2903248</v>
      </c>
      <c r="B1072" s="6" t="s">
        <v>1284</v>
      </c>
      <c r="C1072" s="77">
        <v>95107</v>
      </c>
    </row>
    <row r="1073" spans="1:3" x14ac:dyDescent="0.25">
      <c r="A1073" s="6">
        <v>2903249</v>
      </c>
      <c r="B1073" s="6" t="s">
        <v>1285</v>
      </c>
      <c r="C1073" s="77">
        <v>143537</v>
      </c>
    </row>
    <row r="1074" spans="1:3" x14ac:dyDescent="0.25">
      <c r="A1074" s="6">
        <v>2903250</v>
      </c>
      <c r="B1074" s="6" t="s">
        <v>1286</v>
      </c>
      <c r="C1074" s="77">
        <v>169886</v>
      </c>
    </row>
    <row r="1075" spans="1:3" x14ac:dyDescent="0.25">
      <c r="A1075" s="6">
        <v>2903251</v>
      </c>
      <c r="B1075" s="6" t="s">
        <v>1287</v>
      </c>
      <c r="C1075" s="77">
        <v>515522</v>
      </c>
    </row>
    <row r="1076" spans="1:3" x14ac:dyDescent="0.25">
      <c r="A1076" s="6">
        <v>2903252</v>
      </c>
      <c r="B1076" s="6" t="s">
        <v>1288</v>
      </c>
      <c r="C1076" s="77">
        <v>451158</v>
      </c>
    </row>
    <row r="1077" spans="1:3" x14ac:dyDescent="0.25">
      <c r="A1077" s="6">
        <v>2903254</v>
      </c>
      <c r="B1077" s="6" t="s">
        <v>1289</v>
      </c>
      <c r="C1077" s="77">
        <v>24555</v>
      </c>
    </row>
    <row r="1078" spans="1:3" x14ac:dyDescent="0.25">
      <c r="A1078" s="6">
        <v>2903256</v>
      </c>
      <c r="B1078" s="6" t="s">
        <v>1290</v>
      </c>
      <c r="C1078" s="77">
        <v>41553</v>
      </c>
    </row>
    <row r="1079" spans="1:3" x14ac:dyDescent="0.25">
      <c r="A1079" s="6">
        <v>2903257</v>
      </c>
      <c r="B1079" s="6" t="s">
        <v>1291</v>
      </c>
      <c r="C1079" s="77">
        <v>72115</v>
      </c>
    </row>
    <row r="1080" spans="1:3" x14ac:dyDescent="0.25">
      <c r="A1080" s="6">
        <v>2903258</v>
      </c>
      <c r="B1080" s="6" t="s">
        <v>1292</v>
      </c>
      <c r="C1080" s="77">
        <v>67839</v>
      </c>
    </row>
    <row r="1081" spans="1:3" x14ac:dyDescent="0.25">
      <c r="A1081" s="6">
        <v>2903260</v>
      </c>
      <c r="B1081" s="6" t="s">
        <v>1293</v>
      </c>
      <c r="C1081" s="77">
        <v>72115</v>
      </c>
    </row>
    <row r="1082" spans="1:3" x14ac:dyDescent="0.25">
      <c r="A1082" s="6">
        <v>2903261</v>
      </c>
      <c r="B1082" s="6" t="s">
        <v>1294</v>
      </c>
      <c r="C1082" s="77">
        <v>161371</v>
      </c>
    </row>
    <row r="1083" spans="1:3" x14ac:dyDescent="0.25">
      <c r="A1083" s="6">
        <v>2903264</v>
      </c>
      <c r="B1083" s="6" t="s">
        <v>1295</v>
      </c>
      <c r="C1083" s="77">
        <v>161371</v>
      </c>
    </row>
    <row r="1084" spans="1:3" x14ac:dyDescent="0.25">
      <c r="A1084" s="6">
        <v>2903265</v>
      </c>
      <c r="B1084" s="6" t="s">
        <v>1296</v>
      </c>
      <c r="C1084" s="77">
        <v>236968</v>
      </c>
    </row>
    <row r="1085" spans="1:3" x14ac:dyDescent="0.25">
      <c r="A1085" s="6">
        <v>2903266</v>
      </c>
      <c r="B1085" s="6" t="s">
        <v>1297</v>
      </c>
      <c r="C1085" s="77">
        <v>200923</v>
      </c>
    </row>
    <row r="1086" spans="1:3" x14ac:dyDescent="0.25">
      <c r="A1086" s="6">
        <v>2903267</v>
      </c>
      <c r="B1086" s="6" t="s">
        <v>1298</v>
      </c>
      <c r="C1086" s="77">
        <v>677922</v>
      </c>
    </row>
    <row r="1087" spans="1:3" x14ac:dyDescent="0.25">
      <c r="A1087" s="6">
        <v>2903268</v>
      </c>
      <c r="B1087" s="6" t="s">
        <v>1299</v>
      </c>
      <c r="C1087" s="77">
        <v>592260</v>
      </c>
    </row>
    <row r="1088" spans="1:3" x14ac:dyDescent="0.25">
      <c r="A1088" s="6">
        <v>2903288</v>
      </c>
      <c r="B1088" s="6" t="s">
        <v>1300</v>
      </c>
      <c r="C1088" s="77">
        <v>153605</v>
      </c>
    </row>
    <row r="1089" spans="1:3" x14ac:dyDescent="0.25">
      <c r="A1089" s="6">
        <v>2903289</v>
      </c>
      <c r="B1089" s="6" t="s">
        <v>1301</v>
      </c>
      <c r="C1089" s="77">
        <v>6841</v>
      </c>
    </row>
    <row r="1090" spans="1:3" x14ac:dyDescent="0.25">
      <c r="A1090" s="6">
        <v>2903290</v>
      </c>
      <c r="B1090" s="6" t="s">
        <v>1302</v>
      </c>
      <c r="C1090" s="77">
        <v>6198</v>
      </c>
    </row>
    <row r="1091" spans="1:3" x14ac:dyDescent="0.25">
      <c r="A1091" s="6">
        <v>2903299</v>
      </c>
      <c r="B1091" s="6" t="s">
        <v>1303</v>
      </c>
      <c r="C1091" s="77">
        <v>15225</v>
      </c>
    </row>
    <row r="1092" spans="1:3" x14ac:dyDescent="0.25">
      <c r="A1092" s="6">
        <v>2903300</v>
      </c>
      <c r="B1092" s="6" t="s">
        <v>1304</v>
      </c>
      <c r="C1092" s="77">
        <v>15225</v>
      </c>
    </row>
    <row r="1093" spans="1:3" x14ac:dyDescent="0.25">
      <c r="A1093" s="6">
        <v>2903301</v>
      </c>
      <c r="B1093" s="6" t="s">
        <v>1305</v>
      </c>
      <c r="C1093" s="77">
        <v>15225</v>
      </c>
    </row>
    <row r="1094" spans="1:3" x14ac:dyDescent="0.25">
      <c r="A1094" s="6">
        <v>2903303</v>
      </c>
      <c r="B1094" s="6" t="s">
        <v>1306</v>
      </c>
      <c r="C1094" s="77">
        <v>15225</v>
      </c>
    </row>
    <row r="1095" spans="1:3" x14ac:dyDescent="0.25">
      <c r="A1095" s="6">
        <v>2903304</v>
      </c>
      <c r="B1095" s="6" t="s">
        <v>1307</v>
      </c>
      <c r="C1095" s="77">
        <v>10256</v>
      </c>
    </row>
    <row r="1096" spans="1:3" x14ac:dyDescent="0.25">
      <c r="A1096" s="6">
        <v>2903305</v>
      </c>
      <c r="B1096" s="6" t="s">
        <v>1308</v>
      </c>
      <c r="C1096" s="77">
        <v>8996</v>
      </c>
    </row>
    <row r="1097" spans="1:3" x14ac:dyDescent="0.25">
      <c r="A1097" s="6">
        <v>2903308</v>
      </c>
      <c r="B1097" s="6" t="s">
        <v>1309</v>
      </c>
      <c r="C1097" s="77">
        <v>33858</v>
      </c>
    </row>
    <row r="1098" spans="1:3" x14ac:dyDescent="0.25">
      <c r="A1098" s="6">
        <v>2903317</v>
      </c>
      <c r="B1098" s="6" t="s">
        <v>1310</v>
      </c>
      <c r="C1098" s="77">
        <v>99798</v>
      </c>
    </row>
    <row r="1099" spans="1:3" x14ac:dyDescent="0.25">
      <c r="A1099" s="6">
        <v>2903318</v>
      </c>
      <c r="B1099" s="6" t="s">
        <v>1311</v>
      </c>
      <c r="C1099" s="77">
        <v>150042</v>
      </c>
    </row>
    <row r="1100" spans="1:3" x14ac:dyDescent="0.25">
      <c r="A1100" s="6">
        <v>2903319</v>
      </c>
      <c r="B1100" s="6" t="s">
        <v>1312</v>
      </c>
      <c r="C1100" s="77">
        <v>151641</v>
      </c>
    </row>
    <row r="1101" spans="1:3" x14ac:dyDescent="0.25">
      <c r="A1101" s="6">
        <v>2903320</v>
      </c>
      <c r="B1101" s="6" t="s">
        <v>1313</v>
      </c>
      <c r="C1101" s="77">
        <v>257453</v>
      </c>
    </row>
    <row r="1102" spans="1:3" x14ac:dyDescent="0.25">
      <c r="A1102" s="6">
        <v>2903321</v>
      </c>
      <c r="B1102" s="6" t="s">
        <v>1314</v>
      </c>
      <c r="C1102" s="77">
        <v>235711</v>
      </c>
    </row>
    <row r="1103" spans="1:3" x14ac:dyDescent="0.25">
      <c r="A1103" s="6">
        <v>2903322</v>
      </c>
      <c r="B1103" s="6" t="s">
        <v>1315</v>
      </c>
      <c r="C1103" s="77">
        <v>433653</v>
      </c>
    </row>
    <row r="1104" spans="1:3" x14ac:dyDescent="0.25">
      <c r="A1104" s="6">
        <v>2903323</v>
      </c>
      <c r="B1104" s="6" t="s">
        <v>1316</v>
      </c>
      <c r="C1104" s="77">
        <v>440629</v>
      </c>
    </row>
    <row r="1105" spans="1:3" x14ac:dyDescent="0.25">
      <c r="A1105" s="6">
        <v>2903325</v>
      </c>
      <c r="B1105" s="6" t="s">
        <v>1317</v>
      </c>
      <c r="C1105" s="77">
        <v>32637</v>
      </c>
    </row>
    <row r="1106" spans="1:3" x14ac:dyDescent="0.25">
      <c r="A1106" s="6">
        <v>2903327</v>
      </c>
      <c r="B1106" s="6" t="s">
        <v>1318</v>
      </c>
      <c r="C1106" s="77">
        <v>1006017</v>
      </c>
    </row>
    <row r="1107" spans="1:3" x14ac:dyDescent="0.25">
      <c r="A1107" s="6">
        <v>2903329</v>
      </c>
      <c r="B1107" s="6" t="s">
        <v>1319</v>
      </c>
      <c r="C1107" s="77">
        <v>26636</v>
      </c>
    </row>
    <row r="1108" spans="1:3" x14ac:dyDescent="0.25">
      <c r="A1108" s="6">
        <v>2903337</v>
      </c>
      <c r="B1108" s="6" t="s">
        <v>1320</v>
      </c>
      <c r="C1108" s="77">
        <v>34947</v>
      </c>
    </row>
    <row r="1109" spans="1:3" x14ac:dyDescent="0.25">
      <c r="A1109" s="6">
        <v>2903338</v>
      </c>
      <c r="B1109" s="6" t="s">
        <v>1321</v>
      </c>
      <c r="C1109" s="77">
        <v>26636</v>
      </c>
    </row>
    <row r="1110" spans="1:3" x14ac:dyDescent="0.25">
      <c r="A1110" s="6">
        <v>2903339</v>
      </c>
      <c r="B1110" s="6" t="s">
        <v>1322</v>
      </c>
      <c r="C1110" s="77">
        <v>34947</v>
      </c>
    </row>
    <row r="1111" spans="1:3" x14ac:dyDescent="0.25">
      <c r="A1111" s="6">
        <v>2903343</v>
      </c>
      <c r="B1111" s="6" t="s">
        <v>1323</v>
      </c>
      <c r="C1111" s="77">
        <v>154057</v>
      </c>
    </row>
    <row r="1112" spans="1:3" x14ac:dyDescent="0.25">
      <c r="A1112" s="6">
        <v>2903345</v>
      </c>
      <c r="B1112" s="6" t="s">
        <v>1324</v>
      </c>
      <c r="C1112" s="77">
        <v>680845</v>
      </c>
    </row>
    <row r="1113" spans="1:3" x14ac:dyDescent="0.25">
      <c r="A1113" s="6">
        <v>2903346</v>
      </c>
      <c r="B1113" s="6" t="s">
        <v>1325</v>
      </c>
      <c r="C1113" s="77">
        <v>777343</v>
      </c>
    </row>
    <row r="1114" spans="1:3" x14ac:dyDescent="0.25">
      <c r="A1114" s="6">
        <v>2903347</v>
      </c>
      <c r="B1114" s="6" t="s">
        <v>1326</v>
      </c>
      <c r="C1114" s="77">
        <v>1158146</v>
      </c>
    </row>
    <row r="1115" spans="1:3" x14ac:dyDescent="0.25">
      <c r="A1115" s="6">
        <v>2903352</v>
      </c>
      <c r="B1115" s="6" t="s">
        <v>2874</v>
      </c>
      <c r="C1115" s="77">
        <v>42675</v>
      </c>
    </row>
    <row r="1116" spans="1:3" x14ac:dyDescent="0.25">
      <c r="A1116" s="6">
        <v>2903353</v>
      </c>
      <c r="B1116" s="6" t="s">
        <v>1327</v>
      </c>
      <c r="C1116" s="77">
        <v>46507</v>
      </c>
    </row>
    <row r="1117" spans="1:3" x14ac:dyDescent="0.25">
      <c r="A1117" s="6">
        <v>2903365</v>
      </c>
      <c r="B1117" s="6" t="s">
        <v>1328</v>
      </c>
      <c r="C1117" s="77">
        <v>218</v>
      </c>
    </row>
    <row r="1118" spans="1:3" x14ac:dyDescent="0.25">
      <c r="A1118" s="6">
        <v>2903366</v>
      </c>
      <c r="B1118" s="6" t="s">
        <v>1329</v>
      </c>
      <c r="C1118" s="77">
        <v>68633</v>
      </c>
    </row>
    <row r="1119" spans="1:3" x14ac:dyDescent="0.25">
      <c r="A1119" s="6">
        <v>2903373</v>
      </c>
      <c r="B1119" s="6" t="s">
        <v>1330</v>
      </c>
      <c r="C1119" s="77">
        <v>86994</v>
      </c>
    </row>
    <row r="1120" spans="1:3" x14ac:dyDescent="0.25">
      <c r="A1120" s="6">
        <v>2903374</v>
      </c>
      <c r="B1120" s="6" t="s">
        <v>1331</v>
      </c>
      <c r="C1120" s="77">
        <v>168465</v>
      </c>
    </row>
    <row r="1121" spans="1:3" x14ac:dyDescent="0.25">
      <c r="A1121" s="6">
        <v>2903375</v>
      </c>
      <c r="B1121" s="6" t="s">
        <v>1332</v>
      </c>
      <c r="C1121" s="77">
        <v>285639</v>
      </c>
    </row>
    <row r="1122" spans="1:3" x14ac:dyDescent="0.25">
      <c r="A1122" s="6">
        <v>2903376</v>
      </c>
      <c r="B1122" s="6" t="s">
        <v>1333</v>
      </c>
      <c r="C1122" s="77">
        <v>38043</v>
      </c>
    </row>
    <row r="1123" spans="1:3" x14ac:dyDescent="0.25">
      <c r="A1123" s="6">
        <v>2903377</v>
      </c>
      <c r="B1123" s="6" t="s">
        <v>1334</v>
      </c>
      <c r="C1123" s="77">
        <v>72397</v>
      </c>
    </row>
    <row r="1124" spans="1:3" x14ac:dyDescent="0.25">
      <c r="A1124" s="6">
        <v>2903378</v>
      </c>
      <c r="B1124" s="6" t="s">
        <v>1335</v>
      </c>
      <c r="C1124" s="77">
        <v>542478</v>
      </c>
    </row>
    <row r="1125" spans="1:3" x14ac:dyDescent="0.25">
      <c r="A1125" s="6">
        <v>2903379</v>
      </c>
      <c r="B1125" s="6" t="s">
        <v>1336</v>
      </c>
      <c r="C1125" s="77">
        <v>29728</v>
      </c>
    </row>
    <row r="1126" spans="1:3" x14ac:dyDescent="0.25">
      <c r="A1126" s="6">
        <v>2903382</v>
      </c>
      <c r="B1126" s="6" t="s">
        <v>1337</v>
      </c>
      <c r="C1126" s="77">
        <v>213227</v>
      </c>
    </row>
    <row r="1127" spans="1:3" x14ac:dyDescent="0.25">
      <c r="A1127" s="6">
        <v>2903383</v>
      </c>
      <c r="B1127" s="6" t="s">
        <v>1338</v>
      </c>
      <c r="C1127" s="77">
        <v>4265</v>
      </c>
    </row>
    <row r="1128" spans="1:3" x14ac:dyDescent="0.25">
      <c r="A1128" s="6">
        <v>2903384</v>
      </c>
      <c r="B1128" s="6" t="s">
        <v>1339</v>
      </c>
      <c r="C1128" s="77">
        <v>9080</v>
      </c>
    </row>
    <row r="1129" spans="1:3" x14ac:dyDescent="0.25">
      <c r="A1129" s="6">
        <v>2903385</v>
      </c>
      <c r="B1129" s="6" t="s">
        <v>1340</v>
      </c>
      <c r="C1129" s="77">
        <v>10796</v>
      </c>
    </row>
    <row r="1130" spans="1:3" x14ac:dyDescent="0.25">
      <c r="A1130" s="6">
        <v>2903386</v>
      </c>
      <c r="B1130" s="6" t="s">
        <v>1341</v>
      </c>
      <c r="C1130" s="77">
        <v>13987</v>
      </c>
    </row>
    <row r="1131" spans="1:3" x14ac:dyDescent="0.25">
      <c r="A1131" s="6">
        <v>2903387</v>
      </c>
      <c r="B1131" s="6" t="s">
        <v>1342</v>
      </c>
      <c r="C1131" s="77">
        <v>49320</v>
      </c>
    </row>
    <row r="1132" spans="1:3" x14ac:dyDescent="0.25">
      <c r="A1132" s="6">
        <v>2903388</v>
      </c>
      <c r="B1132" s="6" t="s">
        <v>1343</v>
      </c>
      <c r="C1132" s="77">
        <v>106000</v>
      </c>
    </row>
    <row r="1133" spans="1:3" x14ac:dyDescent="0.25">
      <c r="A1133" s="6">
        <v>2903397</v>
      </c>
      <c r="B1133" s="6" t="s">
        <v>1344</v>
      </c>
      <c r="C1133" s="77">
        <v>14568</v>
      </c>
    </row>
    <row r="1134" spans="1:3" x14ac:dyDescent="0.25">
      <c r="A1134" s="6">
        <v>2903398</v>
      </c>
      <c r="B1134" s="6" t="s">
        <v>1345</v>
      </c>
      <c r="C1134" s="77">
        <v>55224</v>
      </c>
    </row>
    <row r="1135" spans="1:3" x14ac:dyDescent="0.25">
      <c r="A1135" s="6">
        <v>2903399</v>
      </c>
      <c r="B1135" s="6" t="s">
        <v>1346</v>
      </c>
      <c r="C1135" s="77">
        <v>6336</v>
      </c>
    </row>
    <row r="1136" spans="1:3" x14ac:dyDescent="0.25">
      <c r="A1136" s="6">
        <v>2903400</v>
      </c>
      <c r="B1136" s="6" t="s">
        <v>1347</v>
      </c>
      <c r="C1136" s="77">
        <v>61442</v>
      </c>
    </row>
    <row r="1137" spans="1:3" x14ac:dyDescent="0.25">
      <c r="A1137" s="6">
        <v>2903401</v>
      </c>
      <c r="B1137" s="6" t="s">
        <v>1348</v>
      </c>
      <c r="C1137" s="77">
        <v>6990</v>
      </c>
    </row>
    <row r="1138" spans="1:3" x14ac:dyDescent="0.25">
      <c r="A1138" s="6">
        <v>2903402</v>
      </c>
      <c r="B1138" s="6" t="s">
        <v>1349</v>
      </c>
      <c r="C1138" s="77">
        <v>49762</v>
      </c>
    </row>
    <row r="1139" spans="1:3" x14ac:dyDescent="0.25">
      <c r="A1139" s="6">
        <v>2903403</v>
      </c>
      <c r="B1139" s="6" t="s">
        <v>1350</v>
      </c>
      <c r="C1139" s="77">
        <v>44125</v>
      </c>
    </row>
    <row r="1140" spans="1:3" x14ac:dyDescent="0.25">
      <c r="A1140" s="6">
        <v>2903405</v>
      </c>
      <c r="B1140" s="6" t="s">
        <v>1351</v>
      </c>
      <c r="C1140" s="77">
        <v>84311</v>
      </c>
    </row>
    <row r="1141" spans="1:3" x14ac:dyDescent="0.25">
      <c r="A1141" s="6">
        <v>2903406</v>
      </c>
      <c r="B1141" s="6" t="s">
        <v>1352</v>
      </c>
      <c r="C1141" s="77">
        <v>81175</v>
      </c>
    </row>
    <row r="1142" spans="1:3" x14ac:dyDescent="0.25">
      <c r="A1142" s="6">
        <v>2903407</v>
      </c>
      <c r="B1142" s="6" t="s">
        <v>1353</v>
      </c>
      <c r="C1142" s="77">
        <v>30666</v>
      </c>
    </row>
    <row r="1143" spans="1:3" x14ac:dyDescent="0.25">
      <c r="A1143" s="6">
        <v>2903408</v>
      </c>
      <c r="B1143" s="6" t="s">
        <v>1354</v>
      </c>
      <c r="C1143" s="77">
        <v>28569</v>
      </c>
    </row>
    <row r="1144" spans="1:3" x14ac:dyDescent="0.25">
      <c r="A1144" s="6">
        <v>2903409</v>
      </c>
      <c r="B1144" s="6" t="s">
        <v>1355</v>
      </c>
      <c r="C1144" s="77">
        <v>122867</v>
      </c>
    </row>
    <row r="1145" spans="1:3" x14ac:dyDescent="0.25">
      <c r="A1145" s="6">
        <v>2903410</v>
      </c>
      <c r="B1145" s="6" t="s">
        <v>1356</v>
      </c>
      <c r="C1145" s="77">
        <v>110542</v>
      </c>
    </row>
    <row r="1146" spans="1:3" x14ac:dyDescent="0.25">
      <c r="A1146" s="6">
        <v>2903413</v>
      </c>
      <c r="B1146" s="6" t="s">
        <v>1357</v>
      </c>
      <c r="C1146" s="77">
        <v>36029</v>
      </c>
    </row>
    <row r="1147" spans="1:3" x14ac:dyDescent="0.25">
      <c r="A1147" s="6">
        <v>2903414</v>
      </c>
      <c r="B1147" s="6" t="s">
        <v>1358</v>
      </c>
      <c r="C1147" s="77">
        <v>35269</v>
      </c>
    </row>
    <row r="1148" spans="1:3" x14ac:dyDescent="0.25">
      <c r="A1148" s="6">
        <v>2903416</v>
      </c>
      <c r="B1148" s="6" t="s">
        <v>1359</v>
      </c>
      <c r="C1148" s="77">
        <v>635947</v>
      </c>
    </row>
    <row r="1149" spans="1:3" x14ac:dyDescent="0.25">
      <c r="A1149" s="6">
        <v>2903417</v>
      </c>
      <c r="B1149" s="6" t="s">
        <v>1360</v>
      </c>
      <c r="C1149" s="77">
        <v>760469</v>
      </c>
    </row>
    <row r="1150" spans="1:3" x14ac:dyDescent="0.25">
      <c r="A1150" s="6">
        <v>2903418</v>
      </c>
      <c r="B1150" s="6" t="s">
        <v>1361</v>
      </c>
      <c r="C1150" s="77">
        <v>2821755</v>
      </c>
    </row>
    <row r="1151" spans="1:3" x14ac:dyDescent="0.25">
      <c r="A1151" s="6">
        <v>2903444</v>
      </c>
      <c r="B1151" s="6" t="s">
        <v>1362</v>
      </c>
      <c r="C1151" s="77">
        <v>30912</v>
      </c>
    </row>
    <row r="1152" spans="1:3" x14ac:dyDescent="0.25">
      <c r="A1152" s="6">
        <v>2903446</v>
      </c>
      <c r="B1152" s="6" t="s">
        <v>1363</v>
      </c>
      <c r="C1152" s="77">
        <v>68633</v>
      </c>
    </row>
    <row r="1153" spans="1:3" x14ac:dyDescent="0.25">
      <c r="A1153" s="6">
        <v>2903450</v>
      </c>
      <c r="B1153" s="6" t="s">
        <v>1364</v>
      </c>
      <c r="C1153" s="77">
        <v>143105</v>
      </c>
    </row>
    <row r="1154" spans="1:3" x14ac:dyDescent="0.25">
      <c r="A1154" s="6">
        <v>2903455</v>
      </c>
      <c r="B1154" s="6" t="s">
        <v>1365</v>
      </c>
      <c r="C1154" s="77">
        <v>168040</v>
      </c>
    </row>
    <row r="1155" spans="1:3" x14ac:dyDescent="0.25">
      <c r="A1155" s="6">
        <v>2903459</v>
      </c>
      <c r="B1155" s="6" t="s">
        <v>1366</v>
      </c>
      <c r="C1155" s="77">
        <v>1599760</v>
      </c>
    </row>
    <row r="1156" spans="1:3" x14ac:dyDescent="0.25">
      <c r="A1156" s="6">
        <v>2903463</v>
      </c>
      <c r="B1156" s="6" t="s">
        <v>1367</v>
      </c>
      <c r="C1156" s="77">
        <v>1069579</v>
      </c>
    </row>
    <row r="1157" spans="1:3" x14ac:dyDescent="0.25">
      <c r="A1157" s="6">
        <v>2903467</v>
      </c>
      <c r="B1157" s="6" t="s">
        <v>1368</v>
      </c>
      <c r="C1157" s="77">
        <v>1343093</v>
      </c>
    </row>
    <row r="1158" spans="1:3" x14ac:dyDescent="0.25">
      <c r="A1158" s="6">
        <v>2903471</v>
      </c>
      <c r="B1158" s="6" t="s">
        <v>1369</v>
      </c>
      <c r="C1158" s="77">
        <v>824232</v>
      </c>
    </row>
    <row r="1159" spans="1:3" x14ac:dyDescent="0.25">
      <c r="A1159" s="6">
        <v>2903474</v>
      </c>
      <c r="B1159" s="6" t="s">
        <v>1370</v>
      </c>
      <c r="C1159" s="77">
        <v>482231</v>
      </c>
    </row>
    <row r="1160" spans="1:3" x14ac:dyDescent="0.25">
      <c r="A1160" s="6">
        <v>2903478</v>
      </c>
      <c r="B1160" s="6" t="s">
        <v>1371</v>
      </c>
      <c r="C1160" s="77">
        <v>245093</v>
      </c>
    </row>
    <row r="1161" spans="1:3" x14ac:dyDescent="0.25">
      <c r="A1161" s="6">
        <v>2903479</v>
      </c>
      <c r="B1161" s="6" t="s">
        <v>1372</v>
      </c>
      <c r="C1161" s="77">
        <v>1561270</v>
      </c>
    </row>
    <row r="1162" spans="1:3" x14ac:dyDescent="0.25">
      <c r="A1162" s="6">
        <v>2903480</v>
      </c>
      <c r="B1162" s="6" t="s">
        <v>1373</v>
      </c>
      <c r="C1162" s="77">
        <v>4417</v>
      </c>
    </row>
    <row r="1163" spans="1:3" x14ac:dyDescent="0.25">
      <c r="A1163" s="6">
        <v>2903482</v>
      </c>
      <c r="B1163" s="6" t="s">
        <v>1374</v>
      </c>
      <c r="C1163" s="77">
        <v>7588</v>
      </c>
    </row>
    <row r="1164" spans="1:3" x14ac:dyDescent="0.25">
      <c r="A1164" s="6">
        <v>2903489</v>
      </c>
      <c r="B1164" s="6" t="s">
        <v>1375</v>
      </c>
      <c r="C1164" s="77">
        <v>10758</v>
      </c>
    </row>
    <row r="1165" spans="1:3" x14ac:dyDescent="0.25">
      <c r="A1165" s="6">
        <v>2903490</v>
      </c>
      <c r="B1165" s="6" t="s">
        <v>1376</v>
      </c>
      <c r="C1165" s="77">
        <v>10758</v>
      </c>
    </row>
    <row r="1166" spans="1:3" x14ac:dyDescent="0.25">
      <c r="A1166" s="6">
        <v>2903491</v>
      </c>
      <c r="B1166" s="6" t="s">
        <v>1377</v>
      </c>
      <c r="C1166" s="77">
        <v>14457</v>
      </c>
    </row>
    <row r="1167" spans="1:3" x14ac:dyDescent="0.25">
      <c r="A1167" s="6">
        <v>2903492</v>
      </c>
      <c r="B1167" s="6" t="s">
        <v>1378</v>
      </c>
      <c r="C1167" s="77">
        <v>14457</v>
      </c>
    </row>
    <row r="1168" spans="1:3" x14ac:dyDescent="0.25">
      <c r="A1168" s="6">
        <v>2903493</v>
      </c>
      <c r="B1168" s="6" t="s">
        <v>1379</v>
      </c>
      <c r="C1168" s="77">
        <v>19863</v>
      </c>
    </row>
    <row r="1169" spans="1:3" x14ac:dyDescent="0.25">
      <c r="A1169" s="6">
        <v>2903494</v>
      </c>
      <c r="B1169" s="6" t="s">
        <v>1380</v>
      </c>
      <c r="C1169" s="77">
        <v>19863</v>
      </c>
    </row>
    <row r="1170" spans="1:3" x14ac:dyDescent="0.25">
      <c r="A1170" s="6">
        <v>2903522</v>
      </c>
      <c r="B1170" s="6" t="s">
        <v>1381</v>
      </c>
      <c r="C1170" s="77">
        <v>341458</v>
      </c>
    </row>
    <row r="1171" spans="1:3" x14ac:dyDescent="0.25">
      <c r="A1171" s="6">
        <v>2903523</v>
      </c>
      <c r="B1171" s="6" t="s">
        <v>1382</v>
      </c>
      <c r="C1171" s="77">
        <v>232718</v>
      </c>
    </row>
    <row r="1172" spans="1:3" x14ac:dyDescent="0.25">
      <c r="A1172" s="6">
        <v>2903526</v>
      </c>
      <c r="B1172" s="6" t="s">
        <v>1383</v>
      </c>
      <c r="C1172" s="77">
        <v>185101</v>
      </c>
    </row>
    <row r="1173" spans="1:3" x14ac:dyDescent="0.25">
      <c r="A1173" s="6">
        <v>2903528</v>
      </c>
      <c r="B1173" s="6" t="s">
        <v>1384</v>
      </c>
      <c r="C1173" s="77">
        <v>167963</v>
      </c>
    </row>
    <row r="1174" spans="1:3" x14ac:dyDescent="0.25">
      <c r="A1174" s="6">
        <v>2903529</v>
      </c>
      <c r="B1174" s="6" t="s">
        <v>1385</v>
      </c>
      <c r="C1174" s="77">
        <v>1811103</v>
      </c>
    </row>
    <row r="1175" spans="1:3" x14ac:dyDescent="0.25">
      <c r="A1175" s="6">
        <v>2903530</v>
      </c>
      <c r="B1175" s="6" t="s">
        <v>1386</v>
      </c>
      <c r="C1175" s="77">
        <v>1455365</v>
      </c>
    </row>
    <row r="1176" spans="1:3" x14ac:dyDescent="0.25">
      <c r="A1176" s="6">
        <v>2903531</v>
      </c>
      <c r="B1176" s="6" t="s">
        <v>1387</v>
      </c>
      <c r="C1176" s="77">
        <v>1048397</v>
      </c>
    </row>
    <row r="1177" spans="1:3" x14ac:dyDescent="0.25">
      <c r="A1177" s="6">
        <v>2903532</v>
      </c>
      <c r="B1177" s="6" t="s">
        <v>1388</v>
      </c>
      <c r="C1177" s="77">
        <v>1158705</v>
      </c>
    </row>
    <row r="1178" spans="1:3" x14ac:dyDescent="0.25">
      <c r="A1178" s="6">
        <v>2903533</v>
      </c>
      <c r="B1178" s="6" t="s">
        <v>1389</v>
      </c>
      <c r="C1178" s="77">
        <v>384985</v>
      </c>
    </row>
    <row r="1179" spans="1:3" x14ac:dyDescent="0.25">
      <c r="A1179" s="6">
        <v>2903534</v>
      </c>
      <c r="B1179" s="6" t="s">
        <v>1390</v>
      </c>
      <c r="C1179" s="77">
        <v>550138</v>
      </c>
    </row>
    <row r="1180" spans="1:3" x14ac:dyDescent="0.25">
      <c r="A1180" s="6">
        <v>2903535</v>
      </c>
      <c r="B1180" s="6" t="s">
        <v>1391</v>
      </c>
      <c r="C1180" s="77">
        <v>517362</v>
      </c>
    </row>
    <row r="1181" spans="1:3" x14ac:dyDescent="0.25">
      <c r="A1181" s="6">
        <v>2903536</v>
      </c>
      <c r="B1181" s="6" t="s">
        <v>1392</v>
      </c>
      <c r="C1181" s="77">
        <v>356739</v>
      </c>
    </row>
    <row r="1182" spans="1:3" x14ac:dyDescent="0.25">
      <c r="A1182" s="6">
        <v>2903537</v>
      </c>
      <c r="B1182" s="6" t="s">
        <v>1393</v>
      </c>
      <c r="C1182" s="77">
        <v>241924</v>
      </c>
    </row>
    <row r="1183" spans="1:3" x14ac:dyDescent="0.25">
      <c r="A1183" s="6">
        <v>2903538</v>
      </c>
      <c r="B1183" s="6" t="s">
        <v>1394</v>
      </c>
      <c r="C1183" s="77">
        <v>274733</v>
      </c>
    </row>
    <row r="1184" spans="1:3" x14ac:dyDescent="0.25">
      <c r="A1184" s="6">
        <v>2903539</v>
      </c>
      <c r="B1184" s="6" t="s">
        <v>1395</v>
      </c>
      <c r="C1184" s="77">
        <v>274736</v>
      </c>
    </row>
    <row r="1185" spans="1:3" x14ac:dyDescent="0.25">
      <c r="A1185" s="6">
        <v>2903542</v>
      </c>
      <c r="B1185" s="6" t="s">
        <v>1396</v>
      </c>
      <c r="C1185" s="77">
        <v>150814</v>
      </c>
    </row>
    <row r="1186" spans="1:3" x14ac:dyDescent="0.25">
      <c r="A1186" s="6">
        <v>2903544</v>
      </c>
      <c r="B1186" s="6" t="s">
        <v>1397</v>
      </c>
      <c r="C1186" s="77">
        <v>236413</v>
      </c>
    </row>
    <row r="1187" spans="1:3" x14ac:dyDescent="0.25">
      <c r="A1187" s="6">
        <v>2903545</v>
      </c>
      <c r="B1187" s="6" t="s">
        <v>1398</v>
      </c>
      <c r="C1187" s="77">
        <v>171689</v>
      </c>
    </row>
    <row r="1188" spans="1:3" x14ac:dyDescent="0.25">
      <c r="A1188" s="6">
        <v>2903546</v>
      </c>
      <c r="B1188" s="6" t="s">
        <v>1399</v>
      </c>
      <c r="C1188" s="77">
        <v>169374</v>
      </c>
    </row>
    <row r="1189" spans="1:3" x14ac:dyDescent="0.25">
      <c r="A1189" s="6">
        <v>2903547</v>
      </c>
      <c r="B1189" s="6" t="s">
        <v>1400</v>
      </c>
      <c r="C1189" s="77">
        <v>185775</v>
      </c>
    </row>
    <row r="1190" spans="1:3" x14ac:dyDescent="0.25">
      <c r="A1190" s="6">
        <v>2903548</v>
      </c>
      <c r="B1190" s="6" t="s">
        <v>1401</v>
      </c>
      <c r="C1190" s="77">
        <v>134881</v>
      </c>
    </row>
    <row r="1191" spans="1:3" x14ac:dyDescent="0.25">
      <c r="A1191" s="6">
        <v>2903549</v>
      </c>
      <c r="B1191" s="6" t="s">
        <v>1402</v>
      </c>
      <c r="C1191" s="77">
        <v>101773</v>
      </c>
    </row>
    <row r="1192" spans="1:3" x14ac:dyDescent="0.25">
      <c r="A1192" s="6">
        <v>2903551</v>
      </c>
      <c r="B1192" s="6" t="s">
        <v>1403</v>
      </c>
      <c r="C1192" s="77">
        <v>131824</v>
      </c>
    </row>
    <row r="1193" spans="1:3" x14ac:dyDescent="0.25">
      <c r="A1193" s="6">
        <v>2903552</v>
      </c>
      <c r="B1193" s="6" t="s">
        <v>1404</v>
      </c>
      <c r="C1193" s="77">
        <v>131824</v>
      </c>
    </row>
    <row r="1194" spans="1:3" x14ac:dyDescent="0.25">
      <c r="A1194" s="6">
        <v>2903553</v>
      </c>
      <c r="B1194" s="6" t="s">
        <v>1405</v>
      </c>
      <c r="C1194" s="77">
        <v>338442</v>
      </c>
    </row>
    <row r="1195" spans="1:3" x14ac:dyDescent="0.25">
      <c r="A1195" s="6">
        <v>2903554</v>
      </c>
      <c r="B1195" s="6" t="s">
        <v>1406</v>
      </c>
      <c r="C1195" s="77">
        <v>92062</v>
      </c>
    </row>
    <row r="1196" spans="1:3" x14ac:dyDescent="0.25">
      <c r="A1196" s="6">
        <v>2903555</v>
      </c>
      <c r="B1196" s="6" t="s">
        <v>1407</v>
      </c>
      <c r="C1196" s="77">
        <v>83091</v>
      </c>
    </row>
    <row r="1197" spans="1:3" x14ac:dyDescent="0.25">
      <c r="A1197" s="6">
        <v>2903559</v>
      </c>
      <c r="B1197" s="6" t="s">
        <v>1408</v>
      </c>
      <c r="C1197" s="77">
        <v>213530</v>
      </c>
    </row>
    <row r="1198" spans="1:3" x14ac:dyDescent="0.25">
      <c r="A1198" s="6">
        <v>2903560</v>
      </c>
      <c r="B1198" s="6" t="s">
        <v>1409</v>
      </c>
      <c r="C1198" s="77">
        <v>260147</v>
      </c>
    </row>
    <row r="1199" spans="1:3" x14ac:dyDescent="0.25">
      <c r="A1199" s="6">
        <v>2903561</v>
      </c>
      <c r="B1199" s="6" t="s">
        <v>1410</v>
      </c>
      <c r="C1199" s="77">
        <v>290754</v>
      </c>
    </row>
    <row r="1200" spans="1:3" x14ac:dyDescent="0.25">
      <c r="A1200" s="6">
        <v>2903562</v>
      </c>
      <c r="B1200" s="6" t="s">
        <v>1411</v>
      </c>
      <c r="C1200" s="77">
        <v>531521</v>
      </c>
    </row>
    <row r="1201" spans="1:3" x14ac:dyDescent="0.25">
      <c r="A1201" s="6">
        <v>2903563</v>
      </c>
      <c r="B1201" s="6" t="s">
        <v>1412</v>
      </c>
      <c r="C1201" s="77">
        <v>516096</v>
      </c>
    </row>
    <row r="1202" spans="1:3" x14ac:dyDescent="0.25">
      <c r="A1202" s="6">
        <v>2903634</v>
      </c>
      <c r="B1202" s="6" t="s">
        <v>1413</v>
      </c>
      <c r="C1202" s="77">
        <v>261566</v>
      </c>
    </row>
    <row r="1203" spans="1:3" x14ac:dyDescent="0.25">
      <c r="A1203" s="6">
        <v>2903635</v>
      </c>
      <c r="B1203" s="6" t="s">
        <v>1414</v>
      </c>
      <c r="C1203" s="77">
        <v>295442</v>
      </c>
    </row>
    <row r="1204" spans="1:3" x14ac:dyDescent="0.25">
      <c r="A1204" s="6">
        <v>2903639</v>
      </c>
      <c r="B1204" s="6" t="s">
        <v>1415</v>
      </c>
      <c r="C1204" s="77">
        <v>54236</v>
      </c>
    </row>
    <row r="1205" spans="1:3" x14ac:dyDescent="0.25">
      <c r="A1205" s="6">
        <v>2903640</v>
      </c>
      <c r="B1205" s="6" t="s">
        <v>1416</v>
      </c>
      <c r="C1205" s="77">
        <v>54236</v>
      </c>
    </row>
    <row r="1206" spans="1:3" x14ac:dyDescent="0.25">
      <c r="A1206" s="6">
        <v>2903641</v>
      </c>
      <c r="B1206" s="6" t="s">
        <v>1417</v>
      </c>
      <c r="C1206" s="77">
        <v>1335449</v>
      </c>
    </row>
    <row r="1207" spans="1:3" x14ac:dyDescent="0.25">
      <c r="A1207" s="6">
        <v>2903653</v>
      </c>
      <c r="B1207" s="6" t="s">
        <v>1418</v>
      </c>
      <c r="C1207" s="77">
        <v>32902</v>
      </c>
    </row>
    <row r="1208" spans="1:3" x14ac:dyDescent="0.25">
      <c r="A1208" s="6">
        <v>2903655</v>
      </c>
      <c r="B1208" s="6" t="s">
        <v>2875</v>
      </c>
      <c r="C1208" s="77">
        <v>7293</v>
      </c>
    </row>
    <row r="1209" spans="1:3" x14ac:dyDescent="0.25">
      <c r="A1209" s="6">
        <v>2903657</v>
      </c>
      <c r="B1209" s="6" t="s">
        <v>1419</v>
      </c>
      <c r="C1209" s="77">
        <v>9926</v>
      </c>
    </row>
    <row r="1210" spans="1:3" x14ac:dyDescent="0.25">
      <c r="A1210" s="6">
        <v>2903658</v>
      </c>
      <c r="B1210" s="6" t="s">
        <v>1420</v>
      </c>
      <c r="C1210" s="77">
        <v>1087399</v>
      </c>
    </row>
    <row r="1211" spans="1:3" x14ac:dyDescent="0.25">
      <c r="A1211" s="6">
        <v>2903659</v>
      </c>
      <c r="B1211" s="6" t="s">
        <v>1421</v>
      </c>
      <c r="C1211" s="77">
        <v>1482940</v>
      </c>
    </row>
    <row r="1212" spans="1:3" x14ac:dyDescent="0.25">
      <c r="A1212" s="6">
        <v>2903660</v>
      </c>
      <c r="B1212" s="6" t="s">
        <v>1422</v>
      </c>
      <c r="C1212" s="77">
        <v>1777921</v>
      </c>
    </row>
    <row r="1213" spans="1:3" x14ac:dyDescent="0.25">
      <c r="A1213" s="6">
        <v>2903661</v>
      </c>
      <c r="B1213" s="6" t="s">
        <v>1423</v>
      </c>
      <c r="C1213" s="77">
        <v>2272681</v>
      </c>
    </row>
    <row r="1214" spans="1:3" x14ac:dyDescent="0.25">
      <c r="A1214" s="6">
        <v>2903701</v>
      </c>
      <c r="B1214" s="6" t="s">
        <v>1424</v>
      </c>
      <c r="C1214" s="77">
        <v>26830</v>
      </c>
    </row>
    <row r="1215" spans="1:3" x14ac:dyDescent="0.25">
      <c r="A1215" s="6">
        <v>2903702</v>
      </c>
      <c r="B1215" s="6" t="s">
        <v>1425</v>
      </c>
      <c r="C1215" s="77">
        <v>367266</v>
      </c>
    </row>
    <row r="1216" spans="1:3" x14ac:dyDescent="0.25">
      <c r="A1216" s="6">
        <v>2903703</v>
      </c>
      <c r="B1216" s="6" t="s">
        <v>1426</v>
      </c>
      <c r="C1216" s="77">
        <v>311529</v>
      </c>
    </row>
    <row r="1217" spans="1:3" x14ac:dyDescent="0.25">
      <c r="A1217" s="6">
        <v>2903708</v>
      </c>
      <c r="B1217" s="6" t="s">
        <v>1427</v>
      </c>
      <c r="C1217" s="77">
        <v>1209100</v>
      </c>
    </row>
    <row r="1218" spans="1:3" x14ac:dyDescent="0.25">
      <c r="A1218" s="6">
        <v>2903734</v>
      </c>
      <c r="B1218" s="6" t="s">
        <v>1428</v>
      </c>
      <c r="C1218" s="77">
        <v>47071</v>
      </c>
    </row>
    <row r="1219" spans="1:3" x14ac:dyDescent="0.25">
      <c r="A1219" s="6">
        <v>2903735</v>
      </c>
      <c r="B1219" s="6" t="s">
        <v>1429</v>
      </c>
      <c r="C1219" s="77">
        <v>9030</v>
      </c>
    </row>
    <row r="1220" spans="1:3" x14ac:dyDescent="0.25">
      <c r="A1220" s="6">
        <v>2903736</v>
      </c>
      <c r="B1220" s="6" t="s">
        <v>1430</v>
      </c>
      <c r="C1220" s="77">
        <v>8959</v>
      </c>
    </row>
    <row r="1221" spans="1:3" x14ac:dyDescent="0.25">
      <c r="A1221" s="6">
        <v>2903742</v>
      </c>
      <c r="B1221" s="6" t="s">
        <v>1431</v>
      </c>
      <c r="C1221" s="77">
        <v>10534</v>
      </c>
    </row>
    <row r="1222" spans="1:3" x14ac:dyDescent="0.25">
      <c r="A1222" s="6">
        <v>2903743</v>
      </c>
      <c r="B1222" s="6" t="s">
        <v>1432</v>
      </c>
      <c r="C1222" s="77">
        <v>11245</v>
      </c>
    </row>
    <row r="1223" spans="1:3" x14ac:dyDescent="0.25">
      <c r="A1223" s="6">
        <v>2903746</v>
      </c>
      <c r="B1223" s="6" t="s">
        <v>1433</v>
      </c>
      <c r="C1223" s="77">
        <v>24439</v>
      </c>
    </row>
    <row r="1224" spans="1:3" x14ac:dyDescent="0.25">
      <c r="A1224" s="6">
        <v>2903747</v>
      </c>
      <c r="B1224" s="6" t="s">
        <v>1434</v>
      </c>
      <c r="C1224" s="77">
        <v>24438</v>
      </c>
    </row>
    <row r="1225" spans="1:3" x14ac:dyDescent="0.25">
      <c r="A1225" s="6">
        <v>2903748</v>
      </c>
      <c r="B1225" s="6" t="s">
        <v>1435</v>
      </c>
      <c r="C1225" s="77">
        <v>23162</v>
      </c>
    </row>
    <row r="1226" spans="1:3" x14ac:dyDescent="0.25">
      <c r="A1226" s="6">
        <v>2903749</v>
      </c>
      <c r="B1226" s="6" t="s">
        <v>1436</v>
      </c>
      <c r="C1226" s="77">
        <v>22779</v>
      </c>
    </row>
    <row r="1227" spans="1:3" x14ac:dyDescent="0.25">
      <c r="A1227" s="6">
        <v>2903750</v>
      </c>
      <c r="B1227" s="6" t="s">
        <v>1437</v>
      </c>
      <c r="C1227" s="77">
        <v>22692</v>
      </c>
    </row>
    <row r="1228" spans="1:3" x14ac:dyDescent="0.25">
      <c r="A1228" s="6">
        <v>2903753</v>
      </c>
      <c r="B1228" s="6" t="s">
        <v>1438</v>
      </c>
      <c r="C1228" s="77">
        <v>68999</v>
      </c>
    </row>
    <row r="1229" spans="1:3" x14ac:dyDescent="0.25">
      <c r="A1229" s="6">
        <v>2903756</v>
      </c>
      <c r="B1229" s="6" t="s">
        <v>1439</v>
      </c>
      <c r="C1229" s="77">
        <v>60198</v>
      </c>
    </row>
    <row r="1230" spans="1:3" x14ac:dyDescent="0.25">
      <c r="A1230" s="6">
        <v>2903759</v>
      </c>
      <c r="B1230" s="6" t="s">
        <v>1440</v>
      </c>
      <c r="C1230" s="77">
        <v>38410</v>
      </c>
    </row>
    <row r="1231" spans="1:3" x14ac:dyDescent="0.25">
      <c r="A1231" s="6">
        <v>2903765</v>
      </c>
      <c r="B1231" s="6" t="s">
        <v>1441</v>
      </c>
      <c r="C1231" s="77">
        <v>83593</v>
      </c>
    </row>
    <row r="1232" spans="1:3" x14ac:dyDescent="0.25">
      <c r="A1232" s="6">
        <v>2903768</v>
      </c>
      <c r="B1232" s="6" t="s">
        <v>1442</v>
      </c>
      <c r="C1232" s="77">
        <v>29281</v>
      </c>
    </row>
    <row r="1233" spans="1:3" x14ac:dyDescent="0.25">
      <c r="A1233" s="6">
        <v>2903778</v>
      </c>
      <c r="B1233" s="6" t="s">
        <v>2876</v>
      </c>
      <c r="C1233" s="77">
        <v>76621</v>
      </c>
    </row>
    <row r="1234" spans="1:3" x14ac:dyDescent="0.25">
      <c r="A1234" s="6">
        <v>2903782</v>
      </c>
      <c r="B1234" s="6" t="s">
        <v>1443</v>
      </c>
      <c r="C1234" s="77">
        <v>2337</v>
      </c>
    </row>
    <row r="1235" spans="1:3" x14ac:dyDescent="0.25">
      <c r="A1235" s="6">
        <v>2903783</v>
      </c>
      <c r="B1235" s="6" t="s">
        <v>1444</v>
      </c>
      <c r="C1235" s="77">
        <v>43267</v>
      </c>
    </row>
    <row r="1236" spans="1:3" x14ac:dyDescent="0.25">
      <c r="A1236" s="6">
        <v>2903784</v>
      </c>
      <c r="B1236" s="6" t="s">
        <v>1445</v>
      </c>
      <c r="C1236" s="77">
        <v>62817</v>
      </c>
    </row>
    <row r="1237" spans="1:3" x14ac:dyDescent="0.25">
      <c r="A1237" s="6">
        <v>2903785</v>
      </c>
      <c r="B1237" s="6" t="s">
        <v>1446</v>
      </c>
      <c r="C1237" s="77">
        <v>107315</v>
      </c>
    </row>
    <row r="1238" spans="1:3" x14ac:dyDescent="0.25">
      <c r="A1238" s="6">
        <v>2903786</v>
      </c>
      <c r="B1238" s="6" t="s">
        <v>1447</v>
      </c>
      <c r="C1238" s="77">
        <v>182357</v>
      </c>
    </row>
    <row r="1239" spans="1:3" x14ac:dyDescent="0.25">
      <c r="A1239" s="6">
        <v>2903787</v>
      </c>
      <c r="B1239" s="6" t="s">
        <v>1448</v>
      </c>
      <c r="C1239" s="77">
        <v>453789</v>
      </c>
    </row>
    <row r="1240" spans="1:3" x14ac:dyDescent="0.25">
      <c r="A1240" s="6">
        <v>2903788</v>
      </c>
      <c r="B1240" s="6" t="s">
        <v>1449</v>
      </c>
      <c r="C1240" s="77">
        <v>494489</v>
      </c>
    </row>
    <row r="1241" spans="1:3" x14ac:dyDescent="0.25">
      <c r="A1241" s="6">
        <v>2903789</v>
      </c>
      <c r="B1241" s="6" t="s">
        <v>1450</v>
      </c>
      <c r="C1241" s="77">
        <v>307532</v>
      </c>
    </row>
    <row r="1242" spans="1:3" x14ac:dyDescent="0.25">
      <c r="A1242" s="6">
        <v>2903792</v>
      </c>
      <c r="B1242" s="6" t="s">
        <v>1451</v>
      </c>
      <c r="C1242" s="77">
        <v>244266</v>
      </c>
    </row>
    <row r="1243" spans="1:3" x14ac:dyDescent="0.25">
      <c r="A1243" s="6">
        <v>2903793</v>
      </c>
      <c r="B1243" s="6" t="s">
        <v>1452</v>
      </c>
      <c r="C1243" s="77">
        <v>238701</v>
      </c>
    </row>
    <row r="1244" spans="1:3" x14ac:dyDescent="0.25">
      <c r="A1244" s="6">
        <v>2903794</v>
      </c>
      <c r="B1244" s="6" t="s">
        <v>1453</v>
      </c>
      <c r="C1244" s="77">
        <v>341754</v>
      </c>
    </row>
    <row r="1245" spans="1:3" x14ac:dyDescent="0.25">
      <c r="A1245" s="6">
        <v>2903795</v>
      </c>
      <c r="B1245" s="6" t="s">
        <v>1454</v>
      </c>
      <c r="C1245" s="77">
        <v>514365</v>
      </c>
    </row>
    <row r="1246" spans="1:3" x14ac:dyDescent="0.25">
      <c r="A1246" s="6">
        <v>2903796</v>
      </c>
      <c r="B1246" s="6" t="s">
        <v>1455</v>
      </c>
      <c r="C1246" s="77">
        <v>684886</v>
      </c>
    </row>
    <row r="1247" spans="1:3" x14ac:dyDescent="0.25">
      <c r="A1247" s="6">
        <v>2903797</v>
      </c>
      <c r="B1247" s="6" t="s">
        <v>1456</v>
      </c>
      <c r="C1247" s="77">
        <v>879688</v>
      </c>
    </row>
    <row r="1248" spans="1:3" x14ac:dyDescent="0.25">
      <c r="A1248" s="6">
        <v>2903798</v>
      </c>
      <c r="B1248" s="6" t="s">
        <v>1457</v>
      </c>
      <c r="C1248" s="77">
        <v>557060</v>
      </c>
    </row>
    <row r="1249" spans="1:3" x14ac:dyDescent="0.25">
      <c r="A1249" s="6">
        <v>2903799</v>
      </c>
      <c r="B1249" s="6" t="s">
        <v>1458</v>
      </c>
      <c r="C1249" s="77">
        <v>439271</v>
      </c>
    </row>
    <row r="1250" spans="1:3" x14ac:dyDescent="0.25">
      <c r="A1250" s="6">
        <v>2903800</v>
      </c>
      <c r="B1250" s="6" t="s">
        <v>1459</v>
      </c>
      <c r="C1250" s="77">
        <v>782349</v>
      </c>
    </row>
    <row r="1251" spans="1:3" x14ac:dyDescent="0.25">
      <c r="A1251" s="6">
        <v>2903802</v>
      </c>
      <c r="B1251" s="6" t="s">
        <v>1460</v>
      </c>
      <c r="C1251" s="77">
        <v>628191</v>
      </c>
    </row>
    <row r="1252" spans="1:3" x14ac:dyDescent="0.25">
      <c r="A1252" s="6">
        <v>2903804</v>
      </c>
      <c r="B1252" s="6" t="s">
        <v>1461</v>
      </c>
      <c r="C1252" s="77">
        <v>522378</v>
      </c>
    </row>
    <row r="1253" spans="1:3" x14ac:dyDescent="0.25">
      <c r="A1253" s="6">
        <v>2903805</v>
      </c>
      <c r="B1253" s="6" t="s">
        <v>1462</v>
      </c>
      <c r="C1253" s="77">
        <v>194052</v>
      </c>
    </row>
    <row r="1254" spans="1:3" x14ac:dyDescent="0.25">
      <c r="A1254" s="6">
        <v>2903806</v>
      </c>
      <c r="B1254" s="6" t="s">
        <v>1463</v>
      </c>
      <c r="C1254" s="77">
        <v>528361</v>
      </c>
    </row>
    <row r="1255" spans="1:3" x14ac:dyDescent="0.25">
      <c r="A1255" s="6">
        <v>2903807</v>
      </c>
      <c r="B1255" s="6" t="s">
        <v>1464</v>
      </c>
      <c r="C1255" s="77">
        <v>281864</v>
      </c>
    </row>
    <row r="1256" spans="1:3" x14ac:dyDescent="0.25">
      <c r="A1256" s="6">
        <v>2903808</v>
      </c>
      <c r="B1256" s="6" t="s">
        <v>1465</v>
      </c>
      <c r="C1256" s="77">
        <v>520482</v>
      </c>
    </row>
    <row r="1257" spans="1:3" x14ac:dyDescent="0.25">
      <c r="A1257" s="6">
        <v>2903809</v>
      </c>
      <c r="B1257" s="6" t="s">
        <v>1466</v>
      </c>
      <c r="C1257" s="77">
        <v>199756</v>
      </c>
    </row>
    <row r="1258" spans="1:3" x14ac:dyDescent="0.25">
      <c r="A1258" s="6">
        <v>2903810</v>
      </c>
      <c r="B1258" s="6" t="s">
        <v>1467</v>
      </c>
      <c r="C1258" s="77">
        <v>304222</v>
      </c>
    </row>
    <row r="1259" spans="1:3" x14ac:dyDescent="0.25">
      <c r="A1259" s="6">
        <v>2903811</v>
      </c>
      <c r="B1259" s="6" t="s">
        <v>1468</v>
      </c>
      <c r="C1259" s="77">
        <v>143985</v>
      </c>
    </row>
    <row r="1260" spans="1:3" x14ac:dyDescent="0.25">
      <c r="A1260" s="6">
        <v>2903813</v>
      </c>
      <c r="B1260" s="6" t="s">
        <v>1469</v>
      </c>
      <c r="C1260" s="77">
        <v>448524</v>
      </c>
    </row>
    <row r="1261" spans="1:3" x14ac:dyDescent="0.25">
      <c r="A1261" s="6">
        <v>2903814</v>
      </c>
      <c r="B1261" s="6" t="s">
        <v>1470</v>
      </c>
      <c r="C1261" s="77">
        <v>489940</v>
      </c>
    </row>
    <row r="1262" spans="1:3" x14ac:dyDescent="0.25">
      <c r="A1262" s="6">
        <v>2903817</v>
      </c>
      <c r="B1262" s="6" t="s">
        <v>1471</v>
      </c>
      <c r="C1262" s="77">
        <v>245517</v>
      </c>
    </row>
    <row r="1263" spans="1:3" x14ac:dyDescent="0.25">
      <c r="A1263" s="6">
        <v>2903820</v>
      </c>
      <c r="B1263" s="6" t="s">
        <v>1472</v>
      </c>
      <c r="C1263" s="77">
        <v>315479</v>
      </c>
    </row>
    <row r="1264" spans="1:3" x14ac:dyDescent="0.25">
      <c r="A1264" s="6">
        <v>2903821</v>
      </c>
      <c r="B1264" s="6" t="s">
        <v>1473</v>
      </c>
      <c r="C1264" s="77">
        <v>228545</v>
      </c>
    </row>
    <row r="1265" spans="1:3" x14ac:dyDescent="0.25">
      <c r="A1265" s="6">
        <v>2903822</v>
      </c>
      <c r="B1265" s="6" t="s">
        <v>1474</v>
      </c>
      <c r="C1265" s="77">
        <v>146108</v>
      </c>
    </row>
    <row r="1266" spans="1:3" x14ac:dyDescent="0.25">
      <c r="A1266" s="6">
        <v>2903823</v>
      </c>
      <c r="B1266" s="6" t="s">
        <v>1475</v>
      </c>
      <c r="C1266" s="77">
        <v>861247</v>
      </c>
    </row>
    <row r="1267" spans="1:3" x14ac:dyDescent="0.25">
      <c r="A1267" s="6">
        <v>2903824</v>
      </c>
      <c r="B1267" s="6" t="s">
        <v>1476</v>
      </c>
      <c r="C1267" s="77">
        <v>473076</v>
      </c>
    </row>
    <row r="1268" spans="1:3" x14ac:dyDescent="0.25">
      <c r="A1268" s="6">
        <v>2903825</v>
      </c>
      <c r="B1268" s="6" t="s">
        <v>1477</v>
      </c>
      <c r="C1268" s="77">
        <v>94816</v>
      </c>
    </row>
    <row r="1269" spans="1:3" x14ac:dyDescent="0.25">
      <c r="A1269" s="6">
        <v>2903826</v>
      </c>
      <c r="B1269" s="6" t="s">
        <v>1478</v>
      </c>
      <c r="C1269" s="77">
        <v>1308533</v>
      </c>
    </row>
    <row r="1270" spans="1:3" x14ac:dyDescent="0.25">
      <c r="A1270" s="6">
        <v>2903827</v>
      </c>
      <c r="B1270" s="6" t="s">
        <v>1479</v>
      </c>
      <c r="C1270" s="77">
        <v>7669</v>
      </c>
    </row>
    <row r="1271" spans="1:3" x14ac:dyDescent="0.25">
      <c r="A1271" s="6">
        <v>2903828</v>
      </c>
      <c r="B1271" s="6" t="s">
        <v>1480</v>
      </c>
      <c r="C1271" s="77">
        <v>8859</v>
      </c>
    </row>
    <row r="1272" spans="1:3" x14ac:dyDescent="0.25">
      <c r="A1272" s="6">
        <v>2903829</v>
      </c>
      <c r="B1272" s="6" t="s">
        <v>1481</v>
      </c>
      <c r="C1272" s="77">
        <v>15162</v>
      </c>
    </row>
    <row r="1273" spans="1:3" x14ac:dyDescent="0.25">
      <c r="A1273" s="6">
        <v>2903830</v>
      </c>
      <c r="B1273" s="6" t="s">
        <v>1482</v>
      </c>
      <c r="C1273" s="77">
        <v>21744</v>
      </c>
    </row>
    <row r="1274" spans="1:3" x14ac:dyDescent="0.25">
      <c r="A1274" s="6">
        <v>2903831</v>
      </c>
      <c r="B1274" s="6" t="s">
        <v>1483</v>
      </c>
      <c r="C1274" s="77">
        <v>29327</v>
      </c>
    </row>
    <row r="1275" spans="1:3" x14ac:dyDescent="0.25">
      <c r="A1275" s="6">
        <v>2903832</v>
      </c>
      <c r="B1275" s="6" t="s">
        <v>1484</v>
      </c>
      <c r="C1275" s="77">
        <v>44686</v>
      </c>
    </row>
    <row r="1276" spans="1:3" x14ac:dyDescent="0.25">
      <c r="A1276" s="6">
        <v>2903833</v>
      </c>
      <c r="B1276" s="6" t="s">
        <v>1485</v>
      </c>
      <c r="C1276" s="77">
        <v>58054</v>
      </c>
    </row>
    <row r="1277" spans="1:3" x14ac:dyDescent="0.25">
      <c r="A1277" s="6">
        <v>2903834</v>
      </c>
      <c r="B1277" s="6" t="s">
        <v>1486</v>
      </c>
      <c r="C1277" s="77">
        <v>35222</v>
      </c>
    </row>
    <row r="1278" spans="1:3" x14ac:dyDescent="0.25">
      <c r="A1278" s="6">
        <v>2903835</v>
      </c>
      <c r="B1278" s="6" t="s">
        <v>1487</v>
      </c>
      <c r="C1278" s="77">
        <v>37781</v>
      </c>
    </row>
    <row r="1279" spans="1:3" x14ac:dyDescent="0.25">
      <c r="A1279" s="6">
        <v>2903836</v>
      </c>
      <c r="B1279" s="6" t="s">
        <v>1488</v>
      </c>
      <c r="C1279" s="77">
        <v>43121</v>
      </c>
    </row>
    <row r="1280" spans="1:3" x14ac:dyDescent="0.25">
      <c r="A1280" s="6">
        <v>2903837</v>
      </c>
      <c r="B1280" s="6" t="s">
        <v>1489</v>
      </c>
      <c r="C1280" s="77">
        <v>60837</v>
      </c>
    </row>
    <row r="1281" spans="1:3" x14ac:dyDescent="0.25">
      <c r="A1281" s="6">
        <v>2903838</v>
      </c>
      <c r="B1281" s="6" t="s">
        <v>1490</v>
      </c>
      <c r="C1281" s="77">
        <v>70656</v>
      </c>
    </row>
    <row r="1282" spans="1:3" x14ac:dyDescent="0.25">
      <c r="A1282" s="6">
        <v>2903839</v>
      </c>
      <c r="B1282" s="6" t="s">
        <v>1491</v>
      </c>
      <c r="C1282" s="77">
        <v>38639</v>
      </c>
    </row>
    <row r="1283" spans="1:3" x14ac:dyDescent="0.25">
      <c r="A1283" s="6">
        <v>2903840</v>
      </c>
      <c r="B1283" s="6" t="s">
        <v>1492</v>
      </c>
      <c r="C1283" s="77">
        <v>53153</v>
      </c>
    </row>
    <row r="1284" spans="1:3" x14ac:dyDescent="0.25">
      <c r="A1284" s="6">
        <v>2903841</v>
      </c>
      <c r="B1284" s="6" t="s">
        <v>1493</v>
      </c>
      <c r="C1284" s="77">
        <v>110432</v>
      </c>
    </row>
    <row r="1285" spans="1:3" x14ac:dyDescent="0.25">
      <c r="A1285" s="6">
        <v>2903842</v>
      </c>
      <c r="B1285" s="6" t="s">
        <v>1494</v>
      </c>
      <c r="C1285" s="77">
        <v>144495</v>
      </c>
    </row>
    <row r="1286" spans="1:3" x14ac:dyDescent="0.25">
      <c r="A1286" s="6">
        <v>2903843</v>
      </c>
      <c r="B1286" s="6" t="s">
        <v>1495</v>
      </c>
      <c r="C1286" s="77">
        <v>184965</v>
      </c>
    </row>
    <row r="1287" spans="1:3" x14ac:dyDescent="0.25">
      <c r="A1287" s="6">
        <v>2903844</v>
      </c>
      <c r="B1287" s="6" t="s">
        <v>1496</v>
      </c>
      <c r="C1287" s="77">
        <v>21558</v>
      </c>
    </row>
    <row r="1288" spans="1:3" x14ac:dyDescent="0.25">
      <c r="A1288" s="6">
        <v>2903845</v>
      </c>
      <c r="B1288" s="6" t="s">
        <v>1497</v>
      </c>
      <c r="C1288" s="77">
        <v>20708</v>
      </c>
    </row>
    <row r="1289" spans="1:3" x14ac:dyDescent="0.25">
      <c r="A1289" s="6">
        <v>2903846</v>
      </c>
      <c r="B1289" s="6" t="s">
        <v>1498</v>
      </c>
      <c r="C1289" s="77">
        <v>39326</v>
      </c>
    </row>
    <row r="1290" spans="1:3" x14ac:dyDescent="0.25">
      <c r="A1290" s="6">
        <v>2903847</v>
      </c>
      <c r="B1290" s="6" t="s">
        <v>1499</v>
      </c>
      <c r="C1290" s="77">
        <v>62873</v>
      </c>
    </row>
    <row r="1291" spans="1:3" x14ac:dyDescent="0.25">
      <c r="A1291" s="6">
        <v>2903848</v>
      </c>
      <c r="B1291" s="6" t="s">
        <v>1500</v>
      </c>
      <c r="C1291" s="77">
        <v>76135</v>
      </c>
    </row>
    <row r="1292" spans="1:3" x14ac:dyDescent="0.25">
      <c r="A1292" s="6">
        <v>2903849</v>
      </c>
      <c r="B1292" s="6" t="s">
        <v>1501</v>
      </c>
      <c r="C1292" s="77">
        <v>90768</v>
      </c>
    </row>
    <row r="1293" spans="1:3" x14ac:dyDescent="0.25">
      <c r="A1293" s="6">
        <v>2903850</v>
      </c>
      <c r="B1293" s="6" t="s">
        <v>1502</v>
      </c>
      <c r="C1293" s="77">
        <v>103112</v>
      </c>
    </row>
    <row r="1294" spans="1:3" x14ac:dyDescent="0.25">
      <c r="A1294" s="6">
        <v>2903851</v>
      </c>
      <c r="B1294" s="6" t="s">
        <v>1503</v>
      </c>
      <c r="C1294" s="77">
        <v>10816</v>
      </c>
    </row>
    <row r="1295" spans="1:3" x14ac:dyDescent="0.25">
      <c r="A1295" s="6">
        <v>2903852</v>
      </c>
      <c r="B1295" s="6" t="s">
        <v>1504</v>
      </c>
      <c r="C1295" s="77">
        <v>14521</v>
      </c>
    </row>
    <row r="1296" spans="1:3" x14ac:dyDescent="0.25">
      <c r="A1296" s="6">
        <v>2903853</v>
      </c>
      <c r="B1296" s="6" t="s">
        <v>1505</v>
      </c>
      <c r="C1296" s="77">
        <v>19152</v>
      </c>
    </row>
    <row r="1297" spans="1:3" x14ac:dyDescent="0.25">
      <c r="A1297" s="6">
        <v>2903854</v>
      </c>
      <c r="B1297" s="6" t="s">
        <v>1506</v>
      </c>
      <c r="C1297" s="77">
        <v>26334</v>
      </c>
    </row>
    <row r="1298" spans="1:3" x14ac:dyDescent="0.25">
      <c r="A1298" s="6">
        <v>2903855</v>
      </c>
      <c r="B1298" s="6" t="s">
        <v>1507</v>
      </c>
      <c r="C1298" s="77">
        <v>33315</v>
      </c>
    </row>
    <row r="1299" spans="1:3" x14ac:dyDescent="0.25">
      <c r="A1299" s="6">
        <v>2903856</v>
      </c>
      <c r="B1299" s="6" t="s">
        <v>1508</v>
      </c>
      <c r="C1299" s="77">
        <v>59251</v>
      </c>
    </row>
    <row r="1300" spans="1:3" x14ac:dyDescent="0.25">
      <c r="A1300" s="6">
        <v>2903857</v>
      </c>
      <c r="B1300" s="6" t="s">
        <v>1509</v>
      </c>
      <c r="C1300" s="77">
        <v>85584</v>
      </c>
    </row>
    <row r="1301" spans="1:3" x14ac:dyDescent="0.25">
      <c r="A1301" s="6">
        <v>2903858</v>
      </c>
      <c r="B1301" s="6" t="s">
        <v>1510</v>
      </c>
      <c r="C1301" s="77">
        <v>7504</v>
      </c>
    </row>
    <row r="1302" spans="1:3" x14ac:dyDescent="0.25">
      <c r="A1302" s="6">
        <v>2903859</v>
      </c>
      <c r="B1302" s="6" t="s">
        <v>1511</v>
      </c>
      <c r="C1302" s="77">
        <v>16506</v>
      </c>
    </row>
    <row r="1303" spans="1:3" x14ac:dyDescent="0.25">
      <c r="A1303" s="6">
        <v>2903860</v>
      </c>
      <c r="B1303" s="6" t="s">
        <v>1512</v>
      </c>
      <c r="C1303" s="77">
        <v>21253</v>
      </c>
    </row>
    <row r="1304" spans="1:3" x14ac:dyDescent="0.25">
      <c r="A1304" s="6">
        <v>2903861</v>
      </c>
      <c r="B1304" s="6" t="s">
        <v>1513</v>
      </c>
      <c r="C1304" s="77">
        <v>29661</v>
      </c>
    </row>
    <row r="1305" spans="1:3" x14ac:dyDescent="0.25">
      <c r="A1305" s="6">
        <v>2903862</v>
      </c>
      <c r="B1305" s="6" t="s">
        <v>1514</v>
      </c>
      <c r="C1305" s="77">
        <v>39100</v>
      </c>
    </row>
    <row r="1306" spans="1:3" x14ac:dyDescent="0.25">
      <c r="A1306" s="6">
        <v>2903863</v>
      </c>
      <c r="B1306" s="6" t="s">
        <v>1515</v>
      </c>
      <c r="C1306" s="77">
        <v>77006</v>
      </c>
    </row>
    <row r="1307" spans="1:3" x14ac:dyDescent="0.25">
      <c r="A1307" s="6">
        <v>2903864</v>
      </c>
      <c r="B1307" s="6" t="s">
        <v>2877</v>
      </c>
      <c r="C1307" s="77">
        <v>104935</v>
      </c>
    </row>
    <row r="1308" spans="1:3" x14ac:dyDescent="0.25">
      <c r="A1308" s="6">
        <v>2903865</v>
      </c>
      <c r="B1308" s="6" t="s">
        <v>1516</v>
      </c>
      <c r="C1308" s="77">
        <v>21484</v>
      </c>
    </row>
    <row r="1309" spans="1:3" x14ac:dyDescent="0.25">
      <c r="A1309" s="6">
        <v>2903866</v>
      </c>
      <c r="B1309" s="6" t="s">
        <v>1517</v>
      </c>
      <c r="C1309" s="77">
        <v>28369</v>
      </c>
    </row>
    <row r="1310" spans="1:3" x14ac:dyDescent="0.25">
      <c r="A1310" s="6">
        <v>2903867</v>
      </c>
      <c r="B1310" s="6" t="s">
        <v>1518</v>
      </c>
      <c r="C1310" s="77">
        <v>10021</v>
      </c>
    </row>
    <row r="1311" spans="1:3" x14ac:dyDescent="0.25">
      <c r="A1311" s="6">
        <v>2903868</v>
      </c>
      <c r="B1311" s="6" t="s">
        <v>1519</v>
      </c>
      <c r="C1311" s="77">
        <v>20593</v>
      </c>
    </row>
    <row r="1312" spans="1:3" x14ac:dyDescent="0.25">
      <c r="A1312" s="6">
        <v>2903869</v>
      </c>
      <c r="B1312" s="6" t="s">
        <v>1520</v>
      </c>
      <c r="C1312" s="77">
        <v>32350</v>
      </c>
    </row>
    <row r="1313" spans="1:3" x14ac:dyDescent="0.25">
      <c r="A1313" s="6">
        <v>2903870</v>
      </c>
      <c r="B1313" s="6" t="s">
        <v>1521</v>
      </c>
      <c r="C1313" s="77">
        <v>47563</v>
      </c>
    </row>
    <row r="1314" spans="1:3" x14ac:dyDescent="0.25">
      <c r="A1314" s="6">
        <v>2903871</v>
      </c>
      <c r="B1314" s="6" t="s">
        <v>1522</v>
      </c>
      <c r="C1314" s="77">
        <v>70330</v>
      </c>
    </row>
    <row r="1315" spans="1:3" x14ac:dyDescent="0.25">
      <c r="A1315" s="6">
        <v>2903872</v>
      </c>
      <c r="B1315" s="6" t="s">
        <v>1523</v>
      </c>
      <c r="C1315" s="77">
        <v>118099</v>
      </c>
    </row>
    <row r="1316" spans="1:3" x14ac:dyDescent="0.25">
      <c r="A1316" s="6">
        <v>2903873</v>
      </c>
      <c r="B1316" s="6" t="s">
        <v>1524</v>
      </c>
      <c r="C1316" s="77">
        <v>139245</v>
      </c>
    </row>
    <row r="1317" spans="1:3" x14ac:dyDescent="0.25">
      <c r="A1317" s="6">
        <v>2903874</v>
      </c>
      <c r="B1317" s="6" t="s">
        <v>1525</v>
      </c>
      <c r="C1317" s="77">
        <v>18270</v>
      </c>
    </row>
    <row r="1318" spans="1:3" x14ac:dyDescent="0.25">
      <c r="A1318" s="6">
        <v>2903875</v>
      </c>
      <c r="B1318" s="6" t="s">
        <v>1526</v>
      </c>
      <c r="C1318" s="77">
        <v>34312</v>
      </c>
    </row>
    <row r="1319" spans="1:3" x14ac:dyDescent="0.25">
      <c r="A1319" s="6">
        <v>2903876</v>
      </c>
      <c r="B1319" s="6" t="s">
        <v>1527</v>
      </c>
      <c r="C1319" s="77">
        <v>33733</v>
      </c>
    </row>
    <row r="1320" spans="1:3" x14ac:dyDescent="0.25">
      <c r="A1320" s="6">
        <v>2903877</v>
      </c>
      <c r="B1320" s="6" t="s">
        <v>1528</v>
      </c>
      <c r="C1320" s="77">
        <v>41294</v>
      </c>
    </row>
    <row r="1321" spans="1:3" x14ac:dyDescent="0.25">
      <c r="A1321" s="6">
        <v>2903878</v>
      </c>
      <c r="B1321" s="6" t="s">
        <v>1529</v>
      </c>
      <c r="C1321" s="77">
        <v>40779</v>
      </c>
    </row>
    <row r="1322" spans="1:3" x14ac:dyDescent="0.25">
      <c r="A1322" s="6">
        <v>2903879</v>
      </c>
      <c r="B1322" s="6" t="s">
        <v>1530</v>
      </c>
      <c r="C1322" s="77">
        <v>42094</v>
      </c>
    </row>
    <row r="1323" spans="1:3" x14ac:dyDescent="0.25">
      <c r="A1323" s="6">
        <v>2903880</v>
      </c>
      <c r="B1323" s="6" t="s">
        <v>1531</v>
      </c>
      <c r="C1323" s="77">
        <v>66831</v>
      </c>
    </row>
    <row r="1324" spans="1:3" x14ac:dyDescent="0.25">
      <c r="A1324" s="6">
        <v>2903881</v>
      </c>
      <c r="B1324" s="6" t="s">
        <v>1532</v>
      </c>
      <c r="C1324" s="77">
        <v>64717</v>
      </c>
    </row>
    <row r="1325" spans="1:3" x14ac:dyDescent="0.25">
      <c r="A1325" s="6">
        <v>2903882</v>
      </c>
      <c r="B1325" s="6" t="s">
        <v>1533</v>
      </c>
      <c r="C1325" s="77">
        <v>66831</v>
      </c>
    </row>
    <row r="1326" spans="1:3" x14ac:dyDescent="0.25">
      <c r="A1326" s="6">
        <v>2903883</v>
      </c>
      <c r="B1326" s="6" t="s">
        <v>1534</v>
      </c>
      <c r="C1326" s="77">
        <v>91767</v>
      </c>
    </row>
    <row r="1327" spans="1:3" x14ac:dyDescent="0.25">
      <c r="A1327" s="6">
        <v>2903884</v>
      </c>
      <c r="B1327" s="6" t="s">
        <v>1535</v>
      </c>
      <c r="C1327" s="77">
        <v>91767</v>
      </c>
    </row>
    <row r="1328" spans="1:3" x14ac:dyDescent="0.25">
      <c r="A1328" s="6">
        <v>2903885</v>
      </c>
      <c r="B1328" s="6" t="s">
        <v>1536</v>
      </c>
      <c r="C1328" s="77">
        <v>105932</v>
      </c>
    </row>
    <row r="1329" spans="1:3" x14ac:dyDescent="0.25">
      <c r="A1329" s="6">
        <v>2903886</v>
      </c>
      <c r="B1329" s="6" t="s">
        <v>1537</v>
      </c>
      <c r="C1329" s="77">
        <v>105932</v>
      </c>
    </row>
    <row r="1330" spans="1:3" x14ac:dyDescent="0.25">
      <c r="A1330" s="6">
        <v>2903887</v>
      </c>
      <c r="B1330" s="6" t="s">
        <v>1538</v>
      </c>
      <c r="C1330" s="77">
        <v>32502</v>
      </c>
    </row>
    <row r="1331" spans="1:3" x14ac:dyDescent="0.25">
      <c r="A1331" s="6">
        <v>2903888</v>
      </c>
      <c r="B1331" s="6" t="s">
        <v>1539</v>
      </c>
      <c r="C1331" s="77">
        <v>32478</v>
      </c>
    </row>
    <row r="1332" spans="1:3" x14ac:dyDescent="0.25">
      <c r="A1332" s="6">
        <v>2903889</v>
      </c>
      <c r="B1332" s="6" t="s">
        <v>1540</v>
      </c>
      <c r="C1332" s="77">
        <v>55130</v>
      </c>
    </row>
    <row r="1333" spans="1:3" x14ac:dyDescent="0.25">
      <c r="A1333" s="6">
        <v>2903890</v>
      </c>
      <c r="B1333" s="6" t="s">
        <v>1541</v>
      </c>
      <c r="C1333" s="77">
        <v>84087</v>
      </c>
    </row>
    <row r="1334" spans="1:3" x14ac:dyDescent="0.25">
      <c r="A1334" s="6">
        <v>2903891</v>
      </c>
      <c r="B1334" s="6" t="s">
        <v>1542</v>
      </c>
      <c r="C1334" s="77">
        <v>102564</v>
      </c>
    </row>
    <row r="1335" spans="1:3" x14ac:dyDescent="0.25">
      <c r="A1335" s="6">
        <v>2903892</v>
      </c>
      <c r="B1335" s="6" t="s">
        <v>1543</v>
      </c>
      <c r="C1335" s="77">
        <v>5418</v>
      </c>
    </row>
    <row r="1336" spans="1:3" x14ac:dyDescent="0.25">
      <c r="A1336" s="6">
        <v>2903893</v>
      </c>
      <c r="B1336" s="6" t="s">
        <v>1544</v>
      </c>
      <c r="C1336" s="77">
        <v>7447</v>
      </c>
    </row>
    <row r="1337" spans="1:3" x14ac:dyDescent="0.25">
      <c r="A1337" s="6">
        <v>2903894</v>
      </c>
      <c r="B1337" s="6" t="s">
        <v>1545</v>
      </c>
      <c r="C1337" s="77">
        <v>10970</v>
      </c>
    </row>
    <row r="1338" spans="1:3" x14ac:dyDescent="0.25">
      <c r="A1338" s="6">
        <v>2903895</v>
      </c>
      <c r="B1338" s="6" t="s">
        <v>1546</v>
      </c>
      <c r="C1338" s="77">
        <v>15162</v>
      </c>
    </row>
    <row r="1339" spans="1:3" x14ac:dyDescent="0.25">
      <c r="A1339" s="6">
        <v>2903896</v>
      </c>
      <c r="B1339" s="6" t="s">
        <v>1547</v>
      </c>
      <c r="C1339" s="77">
        <v>22941</v>
      </c>
    </row>
    <row r="1340" spans="1:3" x14ac:dyDescent="0.25">
      <c r="A1340" s="6">
        <v>2903897</v>
      </c>
      <c r="B1340" s="6" t="s">
        <v>1548</v>
      </c>
      <c r="C1340" s="77">
        <v>32718</v>
      </c>
    </row>
    <row r="1341" spans="1:3" x14ac:dyDescent="0.25">
      <c r="A1341" s="6">
        <v>2903898</v>
      </c>
      <c r="B1341" s="6" t="s">
        <v>1549</v>
      </c>
      <c r="C1341" s="77">
        <v>53465</v>
      </c>
    </row>
    <row r="1342" spans="1:3" x14ac:dyDescent="0.25">
      <c r="A1342" s="6">
        <v>2903899</v>
      </c>
      <c r="B1342" s="6" t="s">
        <v>1550</v>
      </c>
      <c r="C1342" s="77">
        <v>6185</v>
      </c>
    </row>
    <row r="1343" spans="1:3" x14ac:dyDescent="0.25">
      <c r="A1343" s="6">
        <v>2903900</v>
      </c>
      <c r="B1343" s="6" t="s">
        <v>1551</v>
      </c>
      <c r="C1343" s="77">
        <v>9775</v>
      </c>
    </row>
    <row r="1344" spans="1:3" x14ac:dyDescent="0.25">
      <c r="A1344" s="6">
        <v>2903901</v>
      </c>
      <c r="B1344" s="6" t="s">
        <v>1552</v>
      </c>
      <c r="C1344" s="77">
        <v>9775</v>
      </c>
    </row>
    <row r="1345" spans="1:3" x14ac:dyDescent="0.25">
      <c r="A1345" s="6">
        <v>2903902</v>
      </c>
      <c r="B1345" s="6" t="s">
        <v>1553</v>
      </c>
      <c r="C1345" s="77">
        <v>12220</v>
      </c>
    </row>
    <row r="1346" spans="1:3" x14ac:dyDescent="0.25">
      <c r="A1346" s="6">
        <v>2903903</v>
      </c>
      <c r="B1346" s="6" t="s">
        <v>1554</v>
      </c>
      <c r="C1346" s="77">
        <v>10559</v>
      </c>
    </row>
    <row r="1347" spans="1:3" x14ac:dyDescent="0.25">
      <c r="A1347" s="6">
        <v>2903904</v>
      </c>
      <c r="B1347" s="6" t="s">
        <v>1555</v>
      </c>
      <c r="C1347" s="77">
        <v>10559</v>
      </c>
    </row>
    <row r="1348" spans="1:3" x14ac:dyDescent="0.25">
      <c r="A1348" s="6">
        <v>2903905</v>
      </c>
      <c r="B1348" s="6" t="s">
        <v>1556</v>
      </c>
      <c r="C1348" s="77">
        <v>16179</v>
      </c>
    </row>
    <row r="1349" spans="1:3" x14ac:dyDescent="0.25">
      <c r="A1349" s="6">
        <v>2903906</v>
      </c>
      <c r="B1349" s="6" t="s">
        <v>1557</v>
      </c>
      <c r="C1349" s="77">
        <v>15960</v>
      </c>
    </row>
    <row r="1350" spans="1:3" x14ac:dyDescent="0.25">
      <c r="A1350" s="6">
        <v>2903907</v>
      </c>
      <c r="B1350" s="6" t="s">
        <v>1558</v>
      </c>
      <c r="C1350" s="77">
        <v>15960</v>
      </c>
    </row>
    <row r="1351" spans="1:3" x14ac:dyDescent="0.25">
      <c r="A1351" s="6">
        <v>2903908</v>
      </c>
      <c r="B1351" s="6" t="s">
        <v>1559</v>
      </c>
      <c r="C1351" s="77">
        <v>15960</v>
      </c>
    </row>
    <row r="1352" spans="1:3" x14ac:dyDescent="0.25">
      <c r="A1352" s="6">
        <v>2903909</v>
      </c>
      <c r="B1352" s="6" t="s">
        <v>2878</v>
      </c>
      <c r="C1352" s="77">
        <v>27730</v>
      </c>
    </row>
    <row r="1353" spans="1:3" x14ac:dyDescent="0.25">
      <c r="A1353" s="6">
        <v>2903910</v>
      </c>
      <c r="B1353" s="6" t="s">
        <v>2879</v>
      </c>
      <c r="C1353" s="77">
        <v>41294</v>
      </c>
    </row>
    <row r="1354" spans="1:3" x14ac:dyDescent="0.25">
      <c r="A1354" s="6">
        <v>2903911</v>
      </c>
      <c r="B1354" s="6" t="s">
        <v>1560</v>
      </c>
      <c r="C1354" s="77">
        <v>41294</v>
      </c>
    </row>
    <row r="1355" spans="1:3" x14ac:dyDescent="0.25">
      <c r="A1355" s="6">
        <v>2903912</v>
      </c>
      <c r="B1355" s="6" t="s">
        <v>1561</v>
      </c>
      <c r="C1355" s="77">
        <v>108154</v>
      </c>
    </row>
    <row r="1356" spans="1:3" x14ac:dyDescent="0.25">
      <c r="A1356" s="6">
        <v>2903913</v>
      </c>
      <c r="B1356" s="6" t="s">
        <v>1562</v>
      </c>
      <c r="C1356" s="77">
        <v>222782</v>
      </c>
    </row>
    <row r="1357" spans="1:3" x14ac:dyDescent="0.25">
      <c r="A1357" s="6">
        <v>2903914</v>
      </c>
      <c r="B1357" s="6" t="s">
        <v>1563</v>
      </c>
      <c r="C1357" s="77">
        <v>23390</v>
      </c>
    </row>
    <row r="1358" spans="1:3" x14ac:dyDescent="0.25">
      <c r="A1358" s="6">
        <v>2903915</v>
      </c>
      <c r="B1358" s="6" t="s">
        <v>1564</v>
      </c>
      <c r="C1358" s="77">
        <v>44916</v>
      </c>
    </row>
    <row r="1359" spans="1:3" x14ac:dyDescent="0.25">
      <c r="A1359" s="6">
        <v>2903916</v>
      </c>
      <c r="B1359" s="6" t="s">
        <v>1565</v>
      </c>
      <c r="C1359" s="77">
        <v>3120892</v>
      </c>
    </row>
    <row r="1360" spans="1:3" x14ac:dyDescent="0.25">
      <c r="A1360" s="6">
        <v>2903918</v>
      </c>
      <c r="B1360" s="6" t="s">
        <v>1566</v>
      </c>
      <c r="C1360" s="77">
        <v>68633</v>
      </c>
    </row>
    <row r="1361" spans="1:3" x14ac:dyDescent="0.25">
      <c r="A1361" s="6">
        <v>2903919</v>
      </c>
      <c r="B1361" s="6" t="s">
        <v>1567</v>
      </c>
      <c r="C1361" s="77">
        <v>677922</v>
      </c>
    </row>
    <row r="1362" spans="1:3" x14ac:dyDescent="0.25">
      <c r="A1362" s="6">
        <v>2903920</v>
      </c>
      <c r="B1362" s="6" t="s">
        <v>1568</v>
      </c>
      <c r="C1362" s="77">
        <v>791801</v>
      </c>
    </row>
    <row r="1363" spans="1:3" x14ac:dyDescent="0.25">
      <c r="A1363" s="6">
        <v>2903922</v>
      </c>
      <c r="B1363" s="6" t="s">
        <v>1569</v>
      </c>
      <c r="C1363" s="77">
        <v>41720</v>
      </c>
    </row>
    <row r="1364" spans="1:3" x14ac:dyDescent="0.25">
      <c r="A1364" s="6">
        <v>2903956</v>
      </c>
      <c r="B1364" s="6" t="s">
        <v>1570</v>
      </c>
      <c r="C1364" s="77">
        <v>50428</v>
      </c>
    </row>
    <row r="1365" spans="1:3" x14ac:dyDescent="0.25">
      <c r="A1365" s="6">
        <v>2903957</v>
      </c>
      <c r="B1365" s="6" t="s">
        <v>1571</v>
      </c>
      <c r="C1365" s="77">
        <v>96187</v>
      </c>
    </row>
    <row r="1366" spans="1:3" x14ac:dyDescent="0.25">
      <c r="A1366" s="6">
        <v>2903971</v>
      </c>
      <c r="B1366" s="6" t="s">
        <v>1572</v>
      </c>
      <c r="C1366" s="77">
        <v>35751</v>
      </c>
    </row>
    <row r="1367" spans="1:3" x14ac:dyDescent="0.25">
      <c r="A1367" s="6">
        <v>2903972</v>
      </c>
      <c r="B1367" s="6" t="s">
        <v>1573</v>
      </c>
      <c r="C1367" s="77">
        <v>453750</v>
      </c>
    </row>
    <row r="1368" spans="1:3" x14ac:dyDescent="0.25">
      <c r="A1368" s="6">
        <v>2904240</v>
      </c>
      <c r="B1368" s="6" t="s">
        <v>1574</v>
      </c>
      <c r="C1368" s="77">
        <v>2865</v>
      </c>
    </row>
    <row r="1369" spans="1:3" x14ac:dyDescent="0.25">
      <c r="A1369" s="6">
        <v>2904523</v>
      </c>
      <c r="B1369" s="6" t="s">
        <v>1575</v>
      </c>
      <c r="C1369" s="77">
        <v>17680</v>
      </c>
    </row>
    <row r="1370" spans="1:3" x14ac:dyDescent="0.25">
      <c r="A1370" s="6">
        <v>2904524</v>
      </c>
      <c r="B1370" s="6" t="s">
        <v>1576</v>
      </c>
      <c r="C1370" s="77">
        <v>2337</v>
      </c>
    </row>
    <row r="1371" spans="1:3" x14ac:dyDescent="0.25">
      <c r="A1371" s="6">
        <v>2904525</v>
      </c>
      <c r="B1371" s="6" t="s">
        <v>1577</v>
      </c>
      <c r="C1371" s="77">
        <v>3285</v>
      </c>
    </row>
    <row r="1372" spans="1:3" x14ac:dyDescent="0.25">
      <c r="A1372" s="6">
        <v>2904567</v>
      </c>
      <c r="B1372" s="6" t="s">
        <v>1578</v>
      </c>
      <c r="C1372" s="77">
        <v>15742</v>
      </c>
    </row>
    <row r="1373" spans="1:3" x14ac:dyDescent="0.25">
      <c r="A1373" s="6">
        <v>2904568</v>
      </c>
      <c r="B1373" s="6" t="s">
        <v>1579</v>
      </c>
      <c r="C1373" s="77">
        <v>19248</v>
      </c>
    </row>
    <row r="1374" spans="1:3" x14ac:dyDescent="0.25">
      <c r="A1374" s="6">
        <v>2904569</v>
      </c>
      <c r="B1374" s="6" t="s">
        <v>1580</v>
      </c>
      <c r="C1374" s="77">
        <v>22438</v>
      </c>
    </row>
    <row r="1375" spans="1:3" x14ac:dyDescent="0.25">
      <c r="A1375" s="6">
        <v>2904570</v>
      </c>
      <c r="B1375" s="6" t="s">
        <v>1581</v>
      </c>
      <c r="C1375" s="77">
        <v>22830</v>
      </c>
    </row>
    <row r="1376" spans="1:3" x14ac:dyDescent="0.25">
      <c r="A1376" s="6">
        <v>2904571</v>
      </c>
      <c r="B1376" s="6" t="s">
        <v>1582</v>
      </c>
      <c r="C1376" s="77">
        <v>29021</v>
      </c>
    </row>
    <row r="1377" spans="1:3" x14ac:dyDescent="0.25">
      <c r="A1377" s="6">
        <v>2904575</v>
      </c>
      <c r="B1377" s="6" t="s">
        <v>1583</v>
      </c>
      <c r="C1377" s="77">
        <v>742107</v>
      </c>
    </row>
    <row r="1378" spans="1:3" x14ac:dyDescent="0.25">
      <c r="A1378" s="6">
        <v>2904585</v>
      </c>
      <c r="B1378" s="6" t="s">
        <v>1584</v>
      </c>
      <c r="C1378" s="77">
        <v>836</v>
      </c>
    </row>
    <row r="1379" spans="1:3" x14ac:dyDescent="0.25">
      <c r="A1379" s="6">
        <v>2904586</v>
      </c>
      <c r="B1379" s="6" t="s">
        <v>1585</v>
      </c>
      <c r="C1379" s="77">
        <v>836</v>
      </c>
    </row>
    <row r="1380" spans="1:3" x14ac:dyDescent="0.25">
      <c r="A1380" s="6">
        <v>2904587</v>
      </c>
      <c r="B1380" s="6" t="s">
        <v>1586</v>
      </c>
      <c r="C1380" s="77">
        <v>836</v>
      </c>
    </row>
    <row r="1381" spans="1:3" x14ac:dyDescent="0.25">
      <c r="A1381" s="6">
        <v>2904589</v>
      </c>
      <c r="B1381" s="6" t="s">
        <v>1587</v>
      </c>
      <c r="C1381" s="77">
        <v>836</v>
      </c>
    </row>
    <row r="1382" spans="1:3" x14ac:dyDescent="0.25">
      <c r="A1382" s="6">
        <v>2904591</v>
      </c>
      <c r="B1382" s="6" t="s">
        <v>1588</v>
      </c>
      <c r="C1382" s="77">
        <v>1351</v>
      </c>
    </row>
    <row r="1383" spans="1:3" x14ac:dyDescent="0.25">
      <c r="A1383" s="6">
        <v>2904592</v>
      </c>
      <c r="B1383" s="6" t="s">
        <v>1589</v>
      </c>
      <c r="C1383" s="77">
        <v>1351</v>
      </c>
    </row>
    <row r="1384" spans="1:3" x14ac:dyDescent="0.25">
      <c r="A1384" s="6">
        <v>2904593</v>
      </c>
      <c r="B1384" s="6" t="s">
        <v>1590</v>
      </c>
      <c r="C1384" s="77">
        <v>1351</v>
      </c>
    </row>
    <row r="1385" spans="1:3" x14ac:dyDescent="0.25">
      <c r="A1385" s="6">
        <v>2904595</v>
      </c>
      <c r="B1385" s="6" t="s">
        <v>1591</v>
      </c>
      <c r="C1385" s="77">
        <v>1351</v>
      </c>
    </row>
    <row r="1386" spans="1:3" x14ac:dyDescent="0.25">
      <c r="A1386" s="6">
        <v>2904604</v>
      </c>
      <c r="B1386" s="6" t="s">
        <v>1592</v>
      </c>
      <c r="C1386" s="77">
        <v>5887302</v>
      </c>
    </row>
    <row r="1387" spans="1:3" x14ac:dyDescent="0.25">
      <c r="A1387" s="6">
        <v>2904605</v>
      </c>
      <c r="B1387" s="6" t="s">
        <v>1593</v>
      </c>
      <c r="C1387" s="77">
        <v>8212555</v>
      </c>
    </row>
    <row r="1388" spans="1:3" x14ac:dyDescent="0.25">
      <c r="A1388" s="6">
        <v>2904616</v>
      </c>
      <c r="B1388" s="6" t="s">
        <v>1594</v>
      </c>
      <c r="C1388" s="77">
        <v>871277</v>
      </c>
    </row>
    <row r="1389" spans="1:3" x14ac:dyDescent="0.25">
      <c r="A1389" s="6">
        <v>2904619</v>
      </c>
      <c r="B1389" s="6" t="s">
        <v>1595</v>
      </c>
      <c r="C1389" s="77">
        <v>4035348</v>
      </c>
    </row>
    <row r="1390" spans="1:3" x14ac:dyDescent="0.25">
      <c r="A1390" s="6">
        <v>2904620</v>
      </c>
      <c r="B1390" s="6" t="s">
        <v>1596</v>
      </c>
      <c r="C1390" s="77">
        <v>2755790</v>
      </c>
    </row>
    <row r="1391" spans="1:3" x14ac:dyDescent="0.25">
      <c r="A1391" s="6">
        <v>2904621</v>
      </c>
      <c r="B1391" s="6" t="s">
        <v>1597</v>
      </c>
      <c r="C1391" s="77">
        <v>3472238</v>
      </c>
    </row>
    <row r="1392" spans="1:3" x14ac:dyDescent="0.25">
      <c r="A1392" s="6">
        <v>2904623</v>
      </c>
      <c r="B1392" s="6" t="s">
        <v>1598</v>
      </c>
      <c r="C1392" s="77">
        <v>5100859</v>
      </c>
    </row>
    <row r="1393" spans="1:3" x14ac:dyDescent="0.25">
      <c r="A1393" s="6">
        <v>2904633</v>
      </c>
      <c r="B1393" s="6" t="s">
        <v>1599</v>
      </c>
      <c r="C1393" s="77">
        <v>13336</v>
      </c>
    </row>
    <row r="1394" spans="1:3" x14ac:dyDescent="0.25">
      <c r="A1394" s="6">
        <v>2904647</v>
      </c>
      <c r="B1394" s="6" t="s">
        <v>1600</v>
      </c>
      <c r="C1394" s="77">
        <v>1750331</v>
      </c>
    </row>
    <row r="1395" spans="1:3" x14ac:dyDescent="0.25">
      <c r="A1395" s="6">
        <v>2904649</v>
      </c>
      <c r="B1395" s="6" t="s">
        <v>1601</v>
      </c>
      <c r="C1395" s="77">
        <v>1464016</v>
      </c>
    </row>
    <row r="1396" spans="1:3" x14ac:dyDescent="0.25">
      <c r="A1396" s="6">
        <v>2904650</v>
      </c>
      <c r="B1396" s="6" t="s">
        <v>1602</v>
      </c>
      <c r="C1396" s="77">
        <v>2997389</v>
      </c>
    </row>
    <row r="1397" spans="1:3" x14ac:dyDescent="0.25">
      <c r="A1397" s="6">
        <v>2904651</v>
      </c>
      <c r="B1397" s="6" t="s">
        <v>1603</v>
      </c>
      <c r="C1397" s="77">
        <v>5288274</v>
      </c>
    </row>
    <row r="1398" spans="1:3" x14ac:dyDescent="0.25">
      <c r="A1398" s="6">
        <v>2904652</v>
      </c>
      <c r="B1398" s="6" t="s">
        <v>1604</v>
      </c>
      <c r="C1398" s="77">
        <v>2304075</v>
      </c>
    </row>
    <row r="1399" spans="1:3" x14ac:dyDescent="0.25">
      <c r="A1399" s="6">
        <v>2904653</v>
      </c>
      <c r="B1399" s="6" t="s">
        <v>1605</v>
      </c>
      <c r="C1399" s="77">
        <v>2764497</v>
      </c>
    </row>
    <row r="1400" spans="1:3" x14ac:dyDescent="0.25">
      <c r="A1400" s="6">
        <v>2904654</v>
      </c>
      <c r="B1400" s="6" t="s">
        <v>1606</v>
      </c>
      <c r="C1400" s="77">
        <v>3594360</v>
      </c>
    </row>
    <row r="1401" spans="1:3" x14ac:dyDescent="0.25">
      <c r="A1401" s="6">
        <v>2904655</v>
      </c>
      <c r="B1401" s="6" t="s">
        <v>1607</v>
      </c>
      <c r="C1401" s="77">
        <v>983049</v>
      </c>
    </row>
    <row r="1402" spans="1:3" x14ac:dyDescent="0.25">
      <c r="A1402" s="6">
        <v>2904656</v>
      </c>
      <c r="B1402" s="6" t="s">
        <v>1608</v>
      </c>
      <c r="C1402" s="77">
        <v>1295753</v>
      </c>
    </row>
    <row r="1403" spans="1:3" x14ac:dyDescent="0.25">
      <c r="A1403" s="6">
        <v>2904657</v>
      </c>
      <c r="B1403" s="6" t="s">
        <v>1609</v>
      </c>
      <c r="C1403" s="77">
        <v>2982039</v>
      </c>
    </row>
    <row r="1404" spans="1:3" x14ac:dyDescent="0.25">
      <c r="A1404" s="6">
        <v>2904658</v>
      </c>
      <c r="B1404" s="6" t="s">
        <v>1610</v>
      </c>
      <c r="C1404" s="77">
        <v>4408385</v>
      </c>
    </row>
    <row r="1405" spans="1:3" x14ac:dyDescent="0.25">
      <c r="A1405" s="6">
        <v>2904659</v>
      </c>
      <c r="B1405" s="6" t="s">
        <v>1611</v>
      </c>
      <c r="C1405" s="77">
        <v>1359548</v>
      </c>
    </row>
    <row r="1406" spans="1:3" x14ac:dyDescent="0.25">
      <c r="A1406" s="6">
        <v>2904660</v>
      </c>
      <c r="B1406" s="6" t="s">
        <v>1612</v>
      </c>
      <c r="C1406" s="77">
        <v>1646457</v>
      </c>
    </row>
    <row r="1407" spans="1:3" x14ac:dyDescent="0.25">
      <c r="A1407" s="6">
        <v>2904661</v>
      </c>
      <c r="B1407" s="6" t="s">
        <v>1613</v>
      </c>
      <c r="C1407" s="77">
        <v>3439593</v>
      </c>
    </row>
    <row r="1408" spans="1:3" x14ac:dyDescent="0.25">
      <c r="A1408" s="6">
        <v>2904662</v>
      </c>
      <c r="B1408" s="6" t="s">
        <v>1614</v>
      </c>
      <c r="C1408" s="77">
        <v>2982632</v>
      </c>
    </row>
    <row r="1409" spans="1:3" x14ac:dyDescent="0.25">
      <c r="A1409" s="6">
        <v>2904663</v>
      </c>
      <c r="B1409" s="6" t="s">
        <v>1615</v>
      </c>
      <c r="C1409" s="77">
        <v>843898</v>
      </c>
    </row>
    <row r="1410" spans="1:3" x14ac:dyDescent="0.25">
      <c r="A1410" s="6">
        <v>2904664</v>
      </c>
      <c r="B1410" s="6" t="s">
        <v>1616</v>
      </c>
      <c r="C1410" s="77">
        <v>1070161</v>
      </c>
    </row>
    <row r="1411" spans="1:3" x14ac:dyDescent="0.25">
      <c r="A1411" s="6">
        <v>2904665</v>
      </c>
      <c r="B1411" s="6" t="s">
        <v>1617</v>
      </c>
      <c r="C1411" s="77">
        <v>1422490</v>
      </c>
    </row>
    <row r="1412" spans="1:3" x14ac:dyDescent="0.25">
      <c r="A1412" s="6">
        <v>2904666</v>
      </c>
      <c r="B1412" s="6" t="s">
        <v>1618</v>
      </c>
      <c r="C1412" s="77">
        <v>2182716</v>
      </c>
    </row>
    <row r="1413" spans="1:3" x14ac:dyDescent="0.25">
      <c r="A1413" s="6">
        <v>2904668</v>
      </c>
      <c r="B1413" s="6" t="s">
        <v>1619</v>
      </c>
      <c r="C1413" s="77">
        <v>8683283</v>
      </c>
    </row>
    <row r="1414" spans="1:3" x14ac:dyDescent="0.25">
      <c r="A1414" s="6">
        <v>2904669</v>
      </c>
      <c r="B1414" s="6" t="s">
        <v>1620</v>
      </c>
      <c r="C1414" s="77">
        <v>2212502</v>
      </c>
    </row>
    <row r="1415" spans="1:3" x14ac:dyDescent="0.25">
      <c r="A1415" s="6">
        <v>2904671</v>
      </c>
      <c r="B1415" s="6" t="s">
        <v>1621</v>
      </c>
      <c r="C1415" s="77">
        <v>8962961</v>
      </c>
    </row>
    <row r="1416" spans="1:3" x14ac:dyDescent="0.25">
      <c r="A1416" s="6">
        <v>2904672</v>
      </c>
      <c r="B1416" s="6" t="s">
        <v>1622</v>
      </c>
      <c r="C1416" s="77">
        <v>912531</v>
      </c>
    </row>
    <row r="1417" spans="1:3" x14ac:dyDescent="0.25">
      <c r="A1417" s="6">
        <v>2904673</v>
      </c>
      <c r="B1417" s="6" t="s">
        <v>1623</v>
      </c>
      <c r="C1417" s="77">
        <v>1422657</v>
      </c>
    </row>
    <row r="1418" spans="1:3" x14ac:dyDescent="0.25">
      <c r="A1418" s="6">
        <v>2904674</v>
      </c>
      <c r="B1418" s="6" t="s">
        <v>1624</v>
      </c>
      <c r="C1418" s="77">
        <v>1621160</v>
      </c>
    </row>
    <row r="1419" spans="1:3" x14ac:dyDescent="0.25">
      <c r="A1419" s="6">
        <v>2904675</v>
      </c>
      <c r="B1419" s="6" t="s">
        <v>1625</v>
      </c>
      <c r="C1419" s="77">
        <v>518367</v>
      </c>
    </row>
    <row r="1420" spans="1:3" x14ac:dyDescent="0.25">
      <c r="A1420" s="6">
        <v>2904676</v>
      </c>
      <c r="B1420" s="6" t="s">
        <v>1626</v>
      </c>
      <c r="C1420" s="77">
        <v>963581</v>
      </c>
    </row>
    <row r="1421" spans="1:3" x14ac:dyDescent="0.25">
      <c r="A1421" s="6">
        <v>2904677</v>
      </c>
      <c r="B1421" s="6" t="s">
        <v>1627</v>
      </c>
      <c r="C1421" s="77">
        <v>1276414</v>
      </c>
    </row>
    <row r="1422" spans="1:3" x14ac:dyDescent="0.25">
      <c r="A1422" s="6">
        <v>2904678</v>
      </c>
      <c r="B1422" s="6" t="s">
        <v>1628</v>
      </c>
      <c r="C1422" s="77">
        <v>1140939</v>
      </c>
    </row>
    <row r="1423" spans="1:3" x14ac:dyDescent="0.25">
      <c r="A1423" s="6">
        <v>2904679</v>
      </c>
      <c r="B1423" s="6" t="s">
        <v>2880</v>
      </c>
      <c r="C1423" s="77">
        <v>1311610</v>
      </c>
    </row>
    <row r="1424" spans="1:3" x14ac:dyDescent="0.25">
      <c r="A1424" s="6">
        <v>2904680</v>
      </c>
      <c r="B1424" s="6" t="s">
        <v>1629</v>
      </c>
      <c r="C1424" s="77">
        <v>2198803</v>
      </c>
    </row>
    <row r="1425" spans="1:3" x14ac:dyDescent="0.25">
      <c r="A1425" s="6">
        <v>2904681</v>
      </c>
      <c r="B1425" s="6" t="s">
        <v>1630</v>
      </c>
      <c r="C1425" s="77">
        <v>3880347</v>
      </c>
    </row>
    <row r="1426" spans="1:3" x14ac:dyDescent="0.25">
      <c r="A1426" s="6">
        <v>2904682</v>
      </c>
      <c r="B1426" s="6" t="s">
        <v>1631</v>
      </c>
      <c r="C1426" s="77">
        <v>402588</v>
      </c>
    </row>
    <row r="1427" spans="1:3" x14ac:dyDescent="0.25">
      <c r="A1427" s="6">
        <v>2904683</v>
      </c>
      <c r="B1427" s="6" t="s">
        <v>1632</v>
      </c>
      <c r="C1427" s="77">
        <v>3193684</v>
      </c>
    </row>
    <row r="1428" spans="1:3" x14ac:dyDescent="0.25">
      <c r="A1428" s="6">
        <v>2904685</v>
      </c>
      <c r="B1428" s="6" t="s">
        <v>1633</v>
      </c>
      <c r="C1428" s="77">
        <v>11950184</v>
      </c>
    </row>
    <row r="1429" spans="1:3" x14ac:dyDescent="0.25">
      <c r="A1429" s="6">
        <v>2904686</v>
      </c>
      <c r="B1429" s="6" t="s">
        <v>1634</v>
      </c>
      <c r="C1429" s="77">
        <v>1096591</v>
      </c>
    </row>
    <row r="1430" spans="1:3" x14ac:dyDescent="0.25">
      <c r="A1430" s="6">
        <v>2904687</v>
      </c>
      <c r="B1430" s="6" t="s">
        <v>1635</v>
      </c>
      <c r="C1430" s="77">
        <v>1123759</v>
      </c>
    </row>
    <row r="1431" spans="1:3" x14ac:dyDescent="0.25">
      <c r="A1431" s="6">
        <v>2904700</v>
      </c>
      <c r="B1431" s="6" t="s">
        <v>1636</v>
      </c>
      <c r="C1431" s="77">
        <v>2873</v>
      </c>
    </row>
    <row r="1432" spans="1:3" x14ac:dyDescent="0.25">
      <c r="A1432" s="6">
        <v>2904737</v>
      </c>
      <c r="B1432" s="6" t="s">
        <v>2881</v>
      </c>
      <c r="C1432" s="77">
        <v>17683</v>
      </c>
    </row>
    <row r="1433" spans="1:3" x14ac:dyDescent="0.25">
      <c r="A1433" s="6">
        <v>2904738</v>
      </c>
      <c r="B1433" s="6" t="s">
        <v>1637</v>
      </c>
      <c r="C1433" s="77">
        <v>17683</v>
      </c>
    </row>
    <row r="1434" spans="1:3" x14ac:dyDescent="0.25">
      <c r="A1434" s="6">
        <v>2904743</v>
      </c>
      <c r="B1434" s="6" t="s">
        <v>1638</v>
      </c>
      <c r="C1434" s="77">
        <v>12707</v>
      </c>
    </row>
    <row r="1435" spans="1:3" x14ac:dyDescent="0.25">
      <c r="A1435" s="6">
        <v>2904744</v>
      </c>
      <c r="B1435" s="6" t="s">
        <v>1639</v>
      </c>
      <c r="C1435" s="77">
        <v>18980</v>
      </c>
    </row>
    <row r="1436" spans="1:3" x14ac:dyDescent="0.25">
      <c r="A1436" s="6">
        <v>2904745</v>
      </c>
      <c r="B1436" s="6" t="s">
        <v>1640</v>
      </c>
      <c r="C1436" s="77">
        <v>26693</v>
      </c>
    </row>
    <row r="1437" spans="1:3" x14ac:dyDescent="0.25">
      <c r="A1437" s="6">
        <v>2904746</v>
      </c>
      <c r="B1437" s="6" t="s">
        <v>1641</v>
      </c>
      <c r="C1437" s="77">
        <v>56014</v>
      </c>
    </row>
    <row r="1438" spans="1:3" x14ac:dyDescent="0.25">
      <c r="A1438" s="6">
        <v>2904755</v>
      </c>
      <c r="B1438" s="6" t="s">
        <v>1642</v>
      </c>
      <c r="C1438" s="77">
        <v>1327790</v>
      </c>
    </row>
    <row r="1439" spans="1:3" x14ac:dyDescent="0.25">
      <c r="A1439" s="6">
        <v>2904900</v>
      </c>
      <c r="B1439" s="6" t="s">
        <v>1643</v>
      </c>
      <c r="C1439" s="77">
        <v>8706927</v>
      </c>
    </row>
    <row r="1440" spans="1:3" x14ac:dyDescent="0.25">
      <c r="A1440" s="6">
        <v>2904901</v>
      </c>
      <c r="B1440" s="6" t="s">
        <v>2882</v>
      </c>
      <c r="C1440" s="77">
        <v>1329891</v>
      </c>
    </row>
    <row r="1441" spans="1:3" x14ac:dyDescent="0.25">
      <c r="A1441" s="6">
        <v>2904914</v>
      </c>
      <c r="B1441" s="6" t="s">
        <v>1644</v>
      </c>
      <c r="C1441" s="77">
        <v>172525</v>
      </c>
    </row>
    <row r="1442" spans="1:3" x14ac:dyDescent="0.25">
      <c r="A1442" s="6">
        <v>2904915</v>
      </c>
      <c r="B1442" s="6" t="s">
        <v>1645</v>
      </c>
      <c r="C1442" s="77">
        <v>396833</v>
      </c>
    </row>
    <row r="1443" spans="1:3" x14ac:dyDescent="0.25">
      <c r="A1443" s="6">
        <v>2904917</v>
      </c>
      <c r="B1443" s="6" t="s">
        <v>1646</v>
      </c>
      <c r="C1443" s="77">
        <v>577498</v>
      </c>
    </row>
    <row r="1444" spans="1:3" x14ac:dyDescent="0.25">
      <c r="A1444" s="6">
        <v>2904918</v>
      </c>
      <c r="B1444" s="6" t="s">
        <v>1647</v>
      </c>
      <c r="C1444" s="77">
        <v>708328</v>
      </c>
    </row>
    <row r="1445" spans="1:3" x14ac:dyDescent="0.25">
      <c r="A1445" s="6">
        <v>2904919</v>
      </c>
      <c r="B1445" s="6" t="s">
        <v>2883</v>
      </c>
      <c r="C1445" s="77">
        <v>902791</v>
      </c>
    </row>
    <row r="1446" spans="1:3" x14ac:dyDescent="0.25">
      <c r="A1446" s="6">
        <v>2904921</v>
      </c>
      <c r="B1446" s="6" t="s">
        <v>1648</v>
      </c>
      <c r="C1446" s="77">
        <v>646321</v>
      </c>
    </row>
    <row r="1447" spans="1:3" x14ac:dyDescent="0.25">
      <c r="A1447" s="6">
        <v>2904926</v>
      </c>
      <c r="B1447" s="6" t="s">
        <v>1649</v>
      </c>
      <c r="C1447" s="77">
        <v>7214460</v>
      </c>
    </row>
    <row r="1448" spans="1:3" x14ac:dyDescent="0.25">
      <c r="A1448" s="6">
        <v>2904940</v>
      </c>
      <c r="B1448" s="6" t="s">
        <v>1650</v>
      </c>
      <c r="C1448" s="77">
        <v>6707</v>
      </c>
    </row>
    <row r="1449" spans="1:3" x14ac:dyDescent="0.25">
      <c r="A1449" s="6">
        <v>2904941</v>
      </c>
      <c r="B1449" s="6" t="s">
        <v>1651</v>
      </c>
      <c r="C1449" s="77">
        <v>6707</v>
      </c>
    </row>
    <row r="1450" spans="1:3" x14ac:dyDescent="0.25">
      <c r="A1450" s="6">
        <v>2904942</v>
      </c>
      <c r="B1450" s="6" t="s">
        <v>1652</v>
      </c>
      <c r="C1450" s="77">
        <v>17725</v>
      </c>
    </row>
    <row r="1451" spans="1:3" x14ac:dyDescent="0.25">
      <c r="A1451" s="6">
        <v>2904943</v>
      </c>
      <c r="B1451" s="6" t="s">
        <v>1653</v>
      </c>
      <c r="C1451" s="77">
        <v>15649</v>
      </c>
    </row>
    <row r="1452" spans="1:3" x14ac:dyDescent="0.25">
      <c r="A1452" s="6">
        <v>2904946</v>
      </c>
      <c r="B1452" s="6" t="s">
        <v>1654</v>
      </c>
      <c r="C1452" s="77">
        <v>15972</v>
      </c>
    </row>
    <row r="1453" spans="1:3" x14ac:dyDescent="0.25">
      <c r="A1453" s="6">
        <v>2904947</v>
      </c>
      <c r="B1453" s="6" t="s">
        <v>1655</v>
      </c>
      <c r="C1453" s="77">
        <v>20121</v>
      </c>
    </row>
    <row r="1454" spans="1:3" x14ac:dyDescent="0.25">
      <c r="A1454" s="6">
        <v>2904949</v>
      </c>
      <c r="B1454" s="6" t="s">
        <v>1656</v>
      </c>
      <c r="C1454" s="77">
        <v>30345</v>
      </c>
    </row>
    <row r="1455" spans="1:3" x14ac:dyDescent="0.25">
      <c r="A1455" s="6">
        <v>2904950</v>
      </c>
      <c r="B1455" s="6" t="s">
        <v>2884</v>
      </c>
      <c r="C1455" s="77">
        <v>66914</v>
      </c>
    </row>
    <row r="1456" spans="1:3" x14ac:dyDescent="0.25">
      <c r="A1456" s="6">
        <v>2904953</v>
      </c>
      <c r="B1456" s="6" t="s">
        <v>1657</v>
      </c>
      <c r="C1456" s="77">
        <v>112751</v>
      </c>
    </row>
    <row r="1457" spans="1:3" x14ac:dyDescent="0.25">
      <c r="A1457" s="6">
        <v>2904954</v>
      </c>
      <c r="B1457" s="6" t="s">
        <v>2885</v>
      </c>
      <c r="C1457" s="77">
        <v>104126</v>
      </c>
    </row>
    <row r="1458" spans="1:3" x14ac:dyDescent="0.25">
      <c r="A1458" s="6">
        <v>2904956</v>
      </c>
      <c r="B1458" s="6" t="s">
        <v>1658</v>
      </c>
      <c r="C1458" s="77">
        <v>378335</v>
      </c>
    </row>
    <row r="1459" spans="1:3" x14ac:dyDescent="0.25">
      <c r="A1459" s="6">
        <v>2904959</v>
      </c>
      <c r="B1459" s="6" t="s">
        <v>1659</v>
      </c>
      <c r="C1459" s="77">
        <v>44717</v>
      </c>
    </row>
    <row r="1460" spans="1:3" x14ac:dyDescent="0.25">
      <c r="A1460" s="6">
        <v>2904960</v>
      </c>
      <c r="B1460" s="6" t="s">
        <v>1660</v>
      </c>
      <c r="C1460" s="77">
        <v>40246</v>
      </c>
    </row>
    <row r="1461" spans="1:3" x14ac:dyDescent="0.25">
      <c r="A1461" s="6">
        <v>2904961</v>
      </c>
      <c r="B1461" s="6" t="s">
        <v>1661</v>
      </c>
      <c r="C1461" s="77">
        <v>62924</v>
      </c>
    </row>
    <row r="1462" spans="1:3" x14ac:dyDescent="0.25">
      <c r="A1462" s="6">
        <v>2904962</v>
      </c>
      <c r="B1462" s="6" t="s">
        <v>1662</v>
      </c>
      <c r="C1462" s="77">
        <v>82246</v>
      </c>
    </row>
    <row r="1463" spans="1:3" x14ac:dyDescent="0.25">
      <c r="A1463" s="6">
        <v>2904963</v>
      </c>
      <c r="B1463" s="6" t="s">
        <v>1663</v>
      </c>
      <c r="C1463" s="77">
        <v>381049</v>
      </c>
    </row>
    <row r="1464" spans="1:3" x14ac:dyDescent="0.25">
      <c r="A1464" s="6">
        <v>2904964</v>
      </c>
      <c r="B1464" s="6" t="s">
        <v>1664</v>
      </c>
      <c r="C1464" s="77">
        <v>486105</v>
      </c>
    </row>
    <row r="1465" spans="1:3" x14ac:dyDescent="0.25">
      <c r="A1465" s="6">
        <v>2904967</v>
      </c>
      <c r="B1465" s="6" t="s">
        <v>1665</v>
      </c>
      <c r="C1465" s="77">
        <v>18366</v>
      </c>
    </row>
    <row r="1466" spans="1:3" x14ac:dyDescent="0.25">
      <c r="A1466" s="6">
        <v>2904969</v>
      </c>
      <c r="B1466" s="6" t="s">
        <v>1666</v>
      </c>
      <c r="C1466" s="77">
        <v>17407</v>
      </c>
    </row>
    <row r="1467" spans="1:3" x14ac:dyDescent="0.25">
      <c r="A1467" s="6">
        <v>2904970</v>
      </c>
      <c r="B1467" s="6" t="s">
        <v>1667</v>
      </c>
      <c r="C1467" s="77">
        <v>17886</v>
      </c>
    </row>
    <row r="1468" spans="1:3" x14ac:dyDescent="0.25">
      <c r="A1468" s="6">
        <v>2904971</v>
      </c>
      <c r="B1468" s="6" t="s">
        <v>2886</v>
      </c>
      <c r="C1468" s="77">
        <v>11181</v>
      </c>
    </row>
    <row r="1469" spans="1:3" x14ac:dyDescent="0.25">
      <c r="A1469" s="6">
        <v>2904972</v>
      </c>
      <c r="B1469" s="6" t="s">
        <v>1668</v>
      </c>
      <c r="C1469" s="77">
        <v>21082</v>
      </c>
    </row>
    <row r="1470" spans="1:3" x14ac:dyDescent="0.25">
      <c r="A1470" s="6">
        <v>2904974</v>
      </c>
      <c r="B1470" s="6" t="s">
        <v>1669</v>
      </c>
      <c r="C1470" s="77">
        <v>16769</v>
      </c>
    </row>
    <row r="1471" spans="1:3" x14ac:dyDescent="0.25">
      <c r="A1471" s="6">
        <v>2904976</v>
      </c>
      <c r="B1471" s="6" t="s">
        <v>1670</v>
      </c>
      <c r="C1471" s="77">
        <v>57495</v>
      </c>
    </row>
    <row r="1472" spans="1:3" x14ac:dyDescent="0.25">
      <c r="A1472" s="6">
        <v>2904977</v>
      </c>
      <c r="B1472" s="6" t="s">
        <v>1671</v>
      </c>
      <c r="C1472" s="77">
        <v>46632</v>
      </c>
    </row>
    <row r="1473" spans="1:3" x14ac:dyDescent="0.25">
      <c r="A1473" s="6">
        <v>2904978</v>
      </c>
      <c r="B1473" s="6" t="s">
        <v>1672</v>
      </c>
      <c r="C1473" s="77">
        <v>44216</v>
      </c>
    </row>
    <row r="1474" spans="1:3" x14ac:dyDescent="0.25">
      <c r="A1474" s="6">
        <v>2904979</v>
      </c>
      <c r="B1474" s="6" t="s">
        <v>1673</v>
      </c>
      <c r="C1474" s="77">
        <v>17886</v>
      </c>
    </row>
    <row r="1475" spans="1:3" x14ac:dyDescent="0.25">
      <c r="A1475" s="6">
        <v>2904980</v>
      </c>
      <c r="B1475" s="6" t="s">
        <v>1674</v>
      </c>
      <c r="C1475" s="77">
        <v>19962</v>
      </c>
    </row>
    <row r="1476" spans="1:3" x14ac:dyDescent="0.25">
      <c r="A1476" s="6">
        <v>2904981</v>
      </c>
      <c r="B1476" s="6" t="s">
        <v>1675</v>
      </c>
      <c r="C1476" s="77">
        <v>20601</v>
      </c>
    </row>
    <row r="1477" spans="1:3" x14ac:dyDescent="0.25">
      <c r="A1477" s="6">
        <v>2904982</v>
      </c>
      <c r="B1477" s="6" t="s">
        <v>1676</v>
      </c>
      <c r="C1477" s="77">
        <v>21402</v>
      </c>
    </row>
    <row r="1478" spans="1:3" x14ac:dyDescent="0.25">
      <c r="A1478" s="6">
        <v>2904983</v>
      </c>
      <c r="B1478" s="6" t="s">
        <v>1677</v>
      </c>
      <c r="C1478" s="77">
        <v>23797</v>
      </c>
    </row>
    <row r="1479" spans="1:3" x14ac:dyDescent="0.25">
      <c r="A1479" s="6">
        <v>2904984</v>
      </c>
      <c r="B1479" s="6" t="s">
        <v>1678</v>
      </c>
      <c r="C1479" s="77">
        <v>55577</v>
      </c>
    </row>
    <row r="1480" spans="1:3" x14ac:dyDescent="0.25">
      <c r="A1480" s="6">
        <v>2904985</v>
      </c>
      <c r="B1480" s="6" t="s">
        <v>1679</v>
      </c>
      <c r="C1480" s="77">
        <v>118696</v>
      </c>
    </row>
    <row r="1481" spans="1:3" x14ac:dyDescent="0.25">
      <c r="A1481" s="6">
        <v>2904986</v>
      </c>
      <c r="B1481" s="6" t="s">
        <v>1680</v>
      </c>
      <c r="C1481" s="77">
        <v>155071</v>
      </c>
    </row>
    <row r="1482" spans="1:3" x14ac:dyDescent="0.25">
      <c r="A1482" s="6">
        <v>2904987</v>
      </c>
      <c r="B1482" s="6" t="s">
        <v>1681</v>
      </c>
      <c r="C1482" s="77">
        <v>210500</v>
      </c>
    </row>
    <row r="1483" spans="1:3" x14ac:dyDescent="0.25">
      <c r="A1483" s="6">
        <v>2904988</v>
      </c>
      <c r="B1483" s="6" t="s">
        <v>1682</v>
      </c>
      <c r="C1483" s="77">
        <v>217683</v>
      </c>
    </row>
    <row r="1484" spans="1:3" x14ac:dyDescent="0.25">
      <c r="A1484" s="6">
        <v>2904989</v>
      </c>
      <c r="B1484" s="6" t="s">
        <v>1683</v>
      </c>
      <c r="C1484" s="77">
        <v>37052</v>
      </c>
    </row>
    <row r="1485" spans="1:3" x14ac:dyDescent="0.25">
      <c r="A1485" s="6">
        <v>2904990</v>
      </c>
      <c r="B1485" s="6" t="s">
        <v>1684</v>
      </c>
      <c r="C1485" s="77">
        <v>20440</v>
      </c>
    </row>
    <row r="1486" spans="1:3" x14ac:dyDescent="0.25">
      <c r="A1486" s="6">
        <v>2904991</v>
      </c>
      <c r="B1486" s="6" t="s">
        <v>1685</v>
      </c>
      <c r="C1486" s="77">
        <v>22839</v>
      </c>
    </row>
    <row r="1487" spans="1:3" x14ac:dyDescent="0.25">
      <c r="A1487" s="6">
        <v>2904994</v>
      </c>
      <c r="B1487" s="6" t="s">
        <v>1686</v>
      </c>
      <c r="C1487" s="77">
        <v>62602</v>
      </c>
    </row>
    <row r="1488" spans="1:3" x14ac:dyDescent="0.25">
      <c r="A1488" s="6">
        <v>2904997</v>
      </c>
      <c r="B1488" s="6" t="s">
        <v>1687</v>
      </c>
      <c r="C1488" s="77">
        <v>8625</v>
      </c>
    </row>
    <row r="1489" spans="1:3" x14ac:dyDescent="0.25">
      <c r="A1489" s="6">
        <v>2905002</v>
      </c>
      <c r="B1489" s="6" t="s">
        <v>1688</v>
      </c>
      <c r="C1489" s="77">
        <v>26991</v>
      </c>
    </row>
    <row r="1490" spans="1:3" x14ac:dyDescent="0.25">
      <c r="A1490" s="6">
        <v>2905008</v>
      </c>
      <c r="B1490" s="6" t="s">
        <v>1689</v>
      </c>
      <c r="C1490" s="77">
        <v>1967819</v>
      </c>
    </row>
    <row r="1491" spans="1:3" x14ac:dyDescent="0.25">
      <c r="A1491" s="6">
        <v>2905016</v>
      </c>
      <c r="B1491" s="6" t="s">
        <v>1690</v>
      </c>
      <c r="C1491" s="77">
        <v>27586</v>
      </c>
    </row>
    <row r="1492" spans="1:3" x14ac:dyDescent="0.25">
      <c r="A1492" s="6">
        <v>2905017</v>
      </c>
      <c r="B1492" s="6" t="s">
        <v>1691</v>
      </c>
      <c r="C1492" s="77">
        <v>72158</v>
      </c>
    </row>
    <row r="1493" spans="1:3" x14ac:dyDescent="0.25">
      <c r="A1493" s="6">
        <v>2905018</v>
      </c>
      <c r="B1493" s="6" t="s">
        <v>1692</v>
      </c>
      <c r="C1493" s="77">
        <v>82899</v>
      </c>
    </row>
    <row r="1494" spans="1:3" x14ac:dyDescent="0.25">
      <c r="A1494" s="6">
        <v>2905026</v>
      </c>
      <c r="B1494" s="6" t="s">
        <v>1693</v>
      </c>
      <c r="C1494" s="77">
        <v>33390</v>
      </c>
    </row>
    <row r="1495" spans="1:3" x14ac:dyDescent="0.25">
      <c r="A1495" s="6">
        <v>2905037</v>
      </c>
      <c r="B1495" s="6" t="s">
        <v>2887</v>
      </c>
      <c r="C1495" s="77">
        <v>3786368</v>
      </c>
    </row>
    <row r="1496" spans="1:3" x14ac:dyDescent="0.25">
      <c r="A1496" s="6">
        <v>2905038</v>
      </c>
      <c r="B1496" s="6" t="s">
        <v>1694</v>
      </c>
      <c r="C1496" s="77">
        <v>3720365</v>
      </c>
    </row>
    <row r="1497" spans="1:3" x14ac:dyDescent="0.25">
      <c r="A1497" s="6">
        <v>2905043</v>
      </c>
      <c r="B1497" s="6" t="s">
        <v>1695</v>
      </c>
      <c r="C1497" s="77">
        <v>1029137</v>
      </c>
    </row>
    <row r="1498" spans="1:3" x14ac:dyDescent="0.25">
      <c r="A1498" s="6">
        <v>2905044</v>
      </c>
      <c r="B1498" s="6" t="s">
        <v>1696</v>
      </c>
      <c r="C1498" s="77">
        <v>2755155</v>
      </c>
    </row>
    <row r="1499" spans="1:3" x14ac:dyDescent="0.25">
      <c r="A1499" s="6">
        <v>2905055</v>
      </c>
      <c r="B1499" s="6" t="s">
        <v>2888</v>
      </c>
      <c r="C1499" s="77">
        <v>681213</v>
      </c>
    </row>
    <row r="1500" spans="1:3" x14ac:dyDescent="0.25">
      <c r="A1500" s="6">
        <v>2905056</v>
      </c>
      <c r="B1500" s="6" t="s">
        <v>1697</v>
      </c>
      <c r="C1500" s="77">
        <v>2017731</v>
      </c>
    </row>
    <row r="1501" spans="1:3" x14ac:dyDescent="0.25">
      <c r="A1501" s="6">
        <v>2905079</v>
      </c>
      <c r="B1501" s="6" t="s">
        <v>1698</v>
      </c>
      <c r="C1501" s="77">
        <v>205000</v>
      </c>
    </row>
    <row r="1502" spans="1:3" x14ac:dyDescent="0.25">
      <c r="A1502" s="6">
        <v>2905080</v>
      </c>
      <c r="B1502" s="6" t="s">
        <v>1699</v>
      </c>
      <c r="C1502" s="77">
        <v>170000</v>
      </c>
    </row>
    <row r="1503" spans="1:3" x14ac:dyDescent="0.25">
      <c r="A1503" s="6">
        <v>2905104</v>
      </c>
      <c r="B1503" s="6" t="s">
        <v>1700</v>
      </c>
      <c r="C1503" s="77">
        <v>41363</v>
      </c>
    </row>
    <row r="1504" spans="1:3" x14ac:dyDescent="0.25">
      <c r="A1504" s="6">
        <v>2905106</v>
      </c>
      <c r="B1504" s="6" t="s">
        <v>1701</v>
      </c>
      <c r="C1504" s="77">
        <v>120574</v>
      </c>
    </row>
    <row r="1505" spans="1:3" x14ac:dyDescent="0.25">
      <c r="A1505" s="6">
        <v>2905107</v>
      </c>
      <c r="B1505" s="6" t="s">
        <v>1702</v>
      </c>
      <c r="C1505" s="77">
        <v>114827</v>
      </c>
    </row>
    <row r="1506" spans="1:3" x14ac:dyDescent="0.25">
      <c r="A1506" s="6">
        <v>2905108</v>
      </c>
      <c r="B1506" s="6" t="s">
        <v>1703</v>
      </c>
      <c r="C1506" s="77">
        <v>20440</v>
      </c>
    </row>
    <row r="1507" spans="1:3" x14ac:dyDescent="0.25">
      <c r="A1507" s="6">
        <v>2905109</v>
      </c>
      <c r="B1507" s="6" t="s">
        <v>1704</v>
      </c>
      <c r="C1507" s="77">
        <v>38650</v>
      </c>
    </row>
    <row r="1508" spans="1:3" x14ac:dyDescent="0.25">
      <c r="A1508" s="6">
        <v>2905116</v>
      </c>
      <c r="B1508" s="6" t="s">
        <v>1705</v>
      </c>
      <c r="C1508" s="77">
        <v>77094</v>
      </c>
    </row>
    <row r="1509" spans="1:3" x14ac:dyDescent="0.25">
      <c r="A1509" s="6">
        <v>2905119</v>
      </c>
      <c r="B1509" s="6" t="s">
        <v>1706</v>
      </c>
      <c r="C1509" s="77">
        <v>68960</v>
      </c>
    </row>
    <row r="1510" spans="1:3" x14ac:dyDescent="0.25">
      <c r="A1510" s="6">
        <v>2905123</v>
      </c>
      <c r="B1510" s="6" t="s">
        <v>1707</v>
      </c>
      <c r="C1510" s="77">
        <v>73317</v>
      </c>
    </row>
    <row r="1511" spans="1:3" x14ac:dyDescent="0.25">
      <c r="A1511" s="6">
        <v>2905124</v>
      </c>
      <c r="B1511" s="6" t="s">
        <v>1708</v>
      </c>
      <c r="C1511" s="77">
        <v>84062</v>
      </c>
    </row>
    <row r="1512" spans="1:3" x14ac:dyDescent="0.25">
      <c r="A1512" s="6">
        <v>2905361</v>
      </c>
      <c r="B1512" s="6" t="s">
        <v>1709</v>
      </c>
      <c r="C1512" s="77">
        <v>116677</v>
      </c>
    </row>
    <row r="1513" spans="1:3" x14ac:dyDescent="0.25">
      <c r="A1513" s="6">
        <v>2905362</v>
      </c>
      <c r="B1513" s="6" t="s">
        <v>1710</v>
      </c>
      <c r="C1513" s="77">
        <v>174422</v>
      </c>
    </row>
    <row r="1514" spans="1:3" x14ac:dyDescent="0.25">
      <c r="A1514" s="6">
        <v>2905387</v>
      </c>
      <c r="B1514" s="6" t="s">
        <v>1711</v>
      </c>
      <c r="C1514" s="77">
        <v>2807728</v>
      </c>
    </row>
    <row r="1515" spans="1:3" x14ac:dyDescent="0.25">
      <c r="A1515" s="6">
        <v>2905388</v>
      </c>
      <c r="B1515" s="6" t="s">
        <v>1712</v>
      </c>
      <c r="C1515" s="77">
        <v>3378315</v>
      </c>
    </row>
    <row r="1516" spans="1:3" x14ac:dyDescent="0.25">
      <c r="A1516" s="6">
        <v>2905389</v>
      </c>
      <c r="B1516" s="6" t="s">
        <v>1713</v>
      </c>
      <c r="C1516" s="77">
        <v>748291</v>
      </c>
    </row>
    <row r="1517" spans="1:3" x14ac:dyDescent="0.25">
      <c r="A1517" s="6">
        <v>2905390</v>
      </c>
      <c r="B1517" s="6" t="s">
        <v>1714</v>
      </c>
      <c r="C1517" s="77">
        <v>2030959</v>
      </c>
    </row>
    <row r="1518" spans="1:3" x14ac:dyDescent="0.25">
      <c r="A1518" s="6">
        <v>2905391</v>
      </c>
      <c r="B1518" s="6" t="s">
        <v>1715</v>
      </c>
      <c r="C1518" s="77">
        <v>53388</v>
      </c>
    </row>
    <row r="1519" spans="1:3" x14ac:dyDescent="0.25">
      <c r="A1519" s="6">
        <v>2905392</v>
      </c>
      <c r="B1519" s="6" t="s">
        <v>1716</v>
      </c>
      <c r="C1519" s="77">
        <v>3598925</v>
      </c>
    </row>
    <row r="1520" spans="1:3" x14ac:dyDescent="0.25">
      <c r="A1520" s="6">
        <v>2905393</v>
      </c>
      <c r="B1520" s="6" t="s">
        <v>1717</v>
      </c>
      <c r="C1520" s="77">
        <v>4336010</v>
      </c>
    </row>
    <row r="1521" spans="1:3" x14ac:dyDescent="0.25">
      <c r="A1521" s="6">
        <v>2905394</v>
      </c>
      <c r="B1521" s="6" t="s">
        <v>1718</v>
      </c>
      <c r="C1521" s="77">
        <v>4636916</v>
      </c>
    </row>
    <row r="1522" spans="1:3" x14ac:dyDescent="0.25">
      <c r="A1522" s="6">
        <v>2905395</v>
      </c>
      <c r="B1522" s="6" t="s">
        <v>1719</v>
      </c>
      <c r="C1522" s="77">
        <v>5400994</v>
      </c>
    </row>
    <row r="1523" spans="1:3" x14ac:dyDescent="0.25">
      <c r="A1523" s="6">
        <v>2905408</v>
      </c>
      <c r="B1523" s="6" t="s">
        <v>1720</v>
      </c>
      <c r="C1523" s="77">
        <v>3959033</v>
      </c>
    </row>
    <row r="1524" spans="1:3" x14ac:dyDescent="0.25">
      <c r="A1524" s="6">
        <v>2905412</v>
      </c>
      <c r="B1524" s="6" t="s">
        <v>2889</v>
      </c>
      <c r="C1524" s="77">
        <v>4744904</v>
      </c>
    </row>
    <row r="1525" spans="1:3" x14ac:dyDescent="0.25">
      <c r="A1525" s="6">
        <v>2905470</v>
      </c>
      <c r="B1525" s="6" t="s">
        <v>1721</v>
      </c>
      <c r="C1525" s="77">
        <v>31870</v>
      </c>
    </row>
    <row r="1526" spans="1:3" x14ac:dyDescent="0.25">
      <c r="A1526" s="6">
        <v>2905474</v>
      </c>
      <c r="B1526" s="6" t="s">
        <v>1722</v>
      </c>
      <c r="C1526" s="77">
        <v>87410</v>
      </c>
    </row>
    <row r="1527" spans="1:3" x14ac:dyDescent="0.25">
      <c r="A1527" s="6">
        <v>2905478</v>
      </c>
      <c r="B1527" s="6" t="s">
        <v>1723</v>
      </c>
      <c r="C1527" s="77">
        <v>371786</v>
      </c>
    </row>
    <row r="1528" spans="1:3" x14ac:dyDescent="0.25">
      <c r="A1528" s="6">
        <v>2905479</v>
      </c>
      <c r="B1528" s="6" t="s">
        <v>1724</v>
      </c>
      <c r="C1528" s="77">
        <v>23636</v>
      </c>
    </row>
    <row r="1529" spans="1:3" x14ac:dyDescent="0.25">
      <c r="A1529" s="6">
        <v>2905480</v>
      </c>
      <c r="B1529" s="6" t="s">
        <v>1725</v>
      </c>
      <c r="C1529" s="77">
        <v>24594</v>
      </c>
    </row>
    <row r="1530" spans="1:3" x14ac:dyDescent="0.25">
      <c r="A1530" s="6">
        <v>2905483</v>
      </c>
      <c r="B1530" s="6" t="s">
        <v>1726</v>
      </c>
      <c r="C1530" s="77">
        <v>14214</v>
      </c>
    </row>
    <row r="1531" spans="1:3" x14ac:dyDescent="0.25">
      <c r="A1531" s="6">
        <v>2905484</v>
      </c>
      <c r="B1531" s="6" t="s">
        <v>1727</v>
      </c>
      <c r="C1531" s="77">
        <v>17248</v>
      </c>
    </row>
    <row r="1532" spans="1:3" x14ac:dyDescent="0.25">
      <c r="A1532" s="6">
        <v>2905485</v>
      </c>
      <c r="B1532" s="6" t="s">
        <v>1728</v>
      </c>
      <c r="C1532" s="77">
        <v>14374</v>
      </c>
    </row>
    <row r="1533" spans="1:3" x14ac:dyDescent="0.25">
      <c r="A1533" s="6">
        <v>2905487</v>
      </c>
      <c r="B1533" s="6" t="s">
        <v>1729</v>
      </c>
      <c r="C1533" s="77">
        <v>18207</v>
      </c>
    </row>
    <row r="1534" spans="1:3" x14ac:dyDescent="0.25">
      <c r="A1534" s="6">
        <v>2905488</v>
      </c>
      <c r="B1534" s="6" t="s">
        <v>1730</v>
      </c>
      <c r="C1534" s="77">
        <v>17886</v>
      </c>
    </row>
    <row r="1535" spans="1:3" x14ac:dyDescent="0.25">
      <c r="A1535" s="6">
        <v>2905489</v>
      </c>
      <c r="B1535" s="6" t="s">
        <v>1731</v>
      </c>
      <c r="C1535" s="77">
        <v>80490</v>
      </c>
    </row>
    <row r="1536" spans="1:3" x14ac:dyDescent="0.25">
      <c r="A1536" s="6">
        <v>2905490</v>
      </c>
      <c r="B1536" s="6" t="s">
        <v>1732</v>
      </c>
      <c r="C1536" s="77">
        <v>111792</v>
      </c>
    </row>
    <row r="1537" spans="1:3" x14ac:dyDescent="0.25">
      <c r="A1537" s="6">
        <v>2905491</v>
      </c>
      <c r="B1537" s="6" t="s">
        <v>1733</v>
      </c>
      <c r="C1537" s="77">
        <v>14052</v>
      </c>
    </row>
    <row r="1538" spans="1:3" x14ac:dyDescent="0.25">
      <c r="A1538" s="6">
        <v>2905492</v>
      </c>
      <c r="B1538" s="6" t="s">
        <v>1734</v>
      </c>
      <c r="C1538" s="77">
        <v>16610</v>
      </c>
    </row>
    <row r="1539" spans="1:3" x14ac:dyDescent="0.25">
      <c r="A1539" s="6">
        <v>2905494</v>
      </c>
      <c r="B1539" s="6" t="s">
        <v>1735</v>
      </c>
      <c r="C1539" s="77">
        <v>9584</v>
      </c>
    </row>
    <row r="1540" spans="1:3" x14ac:dyDescent="0.25">
      <c r="A1540" s="6">
        <v>2905495</v>
      </c>
      <c r="B1540" s="6" t="s">
        <v>1736</v>
      </c>
      <c r="C1540" s="77">
        <v>17568</v>
      </c>
    </row>
    <row r="1541" spans="1:3" x14ac:dyDescent="0.25">
      <c r="A1541" s="6">
        <v>2905496</v>
      </c>
      <c r="B1541" s="6" t="s">
        <v>1737</v>
      </c>
      <c r="C1541" s="77">
        <v>19165</v>
      </c>
    </row>
    <row r="1542" spans="1:3" x14ac:dyDescent="0.25">
      <c r="A1542" s="6">
        <v>2905497</v>
      </c>
      <c r="B1542" s="6" t="s">
        <v>1738</v>
      </c>
      <c r="C1542" s="77">
        <v>22510</v>
      </c>
    </row>
    <row r="1543" spans="1:3" x14ac:dyDescent="0.25">
      <c r="A1543" s="6">
        <v>2905503</v>
      </c>
      <c r="B1543" s="6" t="s">
        <v>1739</v>
      </c>
      <c r="C1543" s="77">
        <v>1198385</v>
      </c>
    </row>
    <row r="1544" spans="1:3" x14ac:dyDescent="0.25">
      <c r="A1544" s="6">
        <v>2905504</v>
      </c>
      <c r="B1544" s="6" t="s">
        <v>1740</v>
      </c>
      <c r="C1544" s="77">
        <v>1443817</v>
      </c>
    </row>
    <row r="1545" spans="1:3" x14ac:dyDescent="0.25">
      <c r="A1545" s="6">
        <v>2905549</v>
      </c>
      <c r="B1545" s="6" t="s">
        <v>1741</v>
      </c>
      <c r="C1545" s="77">
        <v>78204</v>
      </c>
    </row>
    <row r="1546" spans="1:3" x14ac:dyDescent="0.25">
      <c r="A1546" s="6">
        <v>2905550</v>
      </c>
      <c r="B1546" s="6" t="s">
        <v>1742</v>
      </c>
      <c r="C1546" s="77">
        <v>2160523</v>
      </c>
    </row>
    <row r="1547" spans="1:3" x14ac:dyDescent="0.25">
      <c r="A1547" s="6">
        <v>2905551</v>
      </c>
      <c r="B1547" s="6" t="s">
        <v>1743</v>
      </c>
      <c r="C1547" s="77">
        <v>2586800</v>
      </c>
    </row>
    <row r="1548" spans="1:3" x14ac:dyDescent="0.25">
      <c r="A1548" s="6">
        <v>2905552</v>
      </c>
      <c r="B1548" s="6" t="s">
        <v>1744</v>
      </c>
      <c r="C1548" s="77">
        <v>3035033</v>
      </c>
    </row>
    <row r="1549" spans="1:3" x14ac:dyDescent="0.25">
      <c r="A1549" s="6">
        <v>2905553</v>
      </c>
      <c r="B1549" s="6" t="s">
        <v>1745</v>
      </c>
      <c r="C1549" s="77">
        <v>3195094</v>
      </c>
    </row>
    <row r="1550" spans="1:3" x14ac:dyDescent="0.25">
      <c r="A1550" s="6">
        <v>2905554</v>
      </c>
      <c r="B1550" s="6" t="s">
        <v>1746</v>
      </c>
      <c r="C1550" s="77">
        <v>3336464</v>
      </c>
    </row>
    <row r="1551" spans="1:3" x14ac:dyDescent="0.25">
      <c r="A1551" s="6">
        <v>2905555</v>
      </c>
      <c r="B1551" s="6" t="s">
        <v>1747</v>
      </c>
      <c r="C1551" s="77">
        <v>3779262</v>
      </c>
    </row>
    <row r="1552" spans="1:3" x14ac:dyDescent="0.25">
      <c r="A1552" s="6">
        <v>2905556</v>
      </c>
      <c r="B1552" s="6" t="s">
        <v>1748</v>
      </c>
      <c r="C1552" s="77">
        <v>4064155</v>
      </c>
    </row>
    <row r="1553" spans="1:3" x14ac:dyDescent="0.25">
      <c r="A1553" s="6">
        <v>2905557</v>
      </c>
      <c r="B1553" s="6" t="s">
        <v>2890</v>
      </c>
      <c r="C1553" s="77">
        <v>794934</v>
      </c>
    </row>
    <row r="1554" spans="1:3" x14ac:dyDescent="0.25">
      <c r="A1554" s="6">
        <v>2905558</v>
      </c>
      <c r="B1554" s="6" t="s">
        <v>1749</v>
      </c>
      <c r="C1554" s="77">
        <v>785422</v>
      </c>
    </row>
    <row r="1555" spans="1:3" x14ac:dyDescent="0.25">
      <c r="A1555" s="6">
        <v>2905559</v>
      </c>
      <c r="B1555" s="6" t="s">
        <v>1750</v>
      </c>
      <c r="C1555" s="77">
        <v>14215</v>
      </c>
    </row>
    <row r="1556" spans="1:3" x14ac:dyDescent="0.25">
      <c r="A1556" s="6">
        <v>2905566</v>
      </c>
      <c r="B1556" s="6" t="s">
        <v>1751</v>
      </c>
      <c r="C1556" s="77">
        <v>775855</v>
      </c>
    </row>
    <row r="1557" spans="1:3" x14ac:dyDescent="0.25">
      <c r="A1557" s="6">
        <v>2905590</v>
      </c>
      <c r="B1557" s="6" t="s">
        <v>1752</v>
      </c>
      <c r="C1557" s="77">
        <v>1024154</v>
      </c>
    </row>
    <row r="1558" spans="1:3" x14ac:dyDescent="0.25">
      <c r="A1558" s="6">
        <v>2905591</v>
      </c>
      <c r="B1558" s="6" t="s">
        <v>1753</v>
      </c>
      <c r="C1558" s="77">
        <v>4349552</v>
      </c>
    </row>
    <row r="1559" spans="1:3" x14ac:dyDescent="0.25">
      <c r="A1559" s="6">
        <v>2905660</v>
      </c>
      <c r="B1559" s="6" t="s">
        <v>2891</v>
      </c>
      <c r="C1559" s="77">
        <v>50428</v>
      </c>
    </row>
    <row r="1560" spans="1:3" x14ac:dyDescent="0.25">
      <c r="A1560" s="6">
        <v>2905661</v>
      </c>
      <c r="B1560" s="6" t="s">
        <v>1754</v>
      </c>
      <c r="C1560" s="77">
        <v>1043202</v>
      </c>
    </row>
    <row r="1561" spans="1:3" x14ac:dyDescent="0.25">
      <c r="A1561" s="6">
        <v>2905663</v>
      </c>
      <c r="B1561" s="6" t="s">
        <v>1755</v>
      </c>
      <c r="C1561" s="77">
        <v>19201</v>
      </c>
    </row>
    <row r="1562" spans="1:3" x14ac:dyDescent="0.25">
      <c r="A1562" s="6">
        <v>2905664</v>
      </c>
      <c r="B1562" s="6" t="s">
        <v>1756</v>
      </c>
      <c r="C1562" s="77">
        <v>8533</v>
      </c>
    </row>
    <row r="1563" spans="1:3" x14ac:dyDescent="0.25">
      <c r="A1563" s="6">
        <v>2905671</v>
      </c>
      <c r="B1563" s="6" t="s">
        <v>1757</v>
      </c>
      <c r="C1563" s="77">
        <v>764234</v>
      </c>
    </row>
    <row r="1564" spans="1:3" x14ac:dyDescent="0.25">
      <c r="A1564" s="6">
        <v>2905681</v>
      </c>
      <c r="B1564" s="6" t="s">
        <v>1758</v>
      </c>
      <c r="C1564" s="77">
        <v>370066</v>
      </c>
    </row>
    <row r="1565" spans="1:3" x14ac:dyDescent="0.25">
      <c r="A1565" s="6">
        <v>2905685</v>
      </c>
      <c r="B1565" s="6" t="s">
        <v>1759</v>
      </c>
      <c r="C1565" s="77">
        <v>285595</v>
      </c>
    </row>
    <row r="1566" spans="1:3" x14ac:dyDescent="0.25">
      <c r="A1566" s="6">
        <v>2905686</v>
      </c>
      <c r="B1566" s="6" t="s">
        <v>1760</v>
      </c>
      <c r="C1566" s="77">
        <v>1677183</v>
      </c>
    </row>
    <row r="1567" spans="1:3" x14ac:dyDescent="0.25">
      <c r="A1567" s="6">
        <v>2905691</v>
      </c>
      <c r="B1567" s="6" t="s">
        <v>1761</v>
      </c>
      <c r="C1567" s="77">
        <v>14417</v>
      </c>
    </row>
    <row r="1568" spans="1:3" x14ac:dyDescent="0.25">
      <c r="A1568" s="6">
        <v>2905692</v>
      </c>
      <c r="B1568" s="6" t="s">
        <v>1762</v>
      </c>
      <c r="C1568" s="77">
        <v>4384</v>
      </c>
    </row>
    <row r="1569" spans="1:3" x14ac:dyDescent="0.25">
      <c r="A1569" s="6">
        <v>2905693</v>
      </c>
      <c r="B1569" s="6" t="s">
        <v>1763</v>
      </c>
      <c r="C1569" s="77">
        <v>4369</v>
      </c>
    </row>
    <row r="1570" spans="1:3" x14ac:dyDescent="0.25">
      <c r="A1570" s="6">
        <v>2905694</v>
      </c>
      <c r="B1570" s="6" t="s">
        <v>1764</v>
      </c>
      <c r="C1570" s="77">
        <v>2197</v>
      </c>
    </row>
    <row r="1571" spans="1:3" x14ac:dyDescent="0.25">
      <c r="A1571" s="6">
        <v>2905695</v>
      </c>
      <c r="B1571" s="6" t="s">
        <v>1765</v>
      </c>
      <c r="C1571" s="77">
        <v>2208</v>
      </c>
    </row>
    <row r="1572" spans="1:3" x14ac:dyDescent="0.25">
      <c r="A1572" s="6">
        <v>2905696</v>
      </c>
      <c r="B1572" s="6" t="s">
        <v>1766</v>
      </c>
      <c r="C1572" s="77">
        <v>2462</v>
      </c>
    </row>
    <row r="1573" spans="1:3" x14ac:dyDescent="0.25">
      <c r="A1573" s="6">
        <v>2905697</v>
      </c>
      <c r="B1573" s="6" t="s">
        <v>1767</v>
      </c>
      <c r="C1573" s="77">
        <v>2460</v>
      </c>
    </row>
    <row r="1574" spans="1:3" x14ac:dyDescent="0.25">
      <c r="A1574" s="6">
        <v>2905698</v>
      </c>
      <c r="B1574" s="6" t="s">
        <v>1768</v>
      </c>
      <c r="C1574" s="77">
        <v>5626</v>
      </c>
    </row>
    <row r="1575" spans="1:3" x14ac:dyDescent="0.25">
      <c r="A1575" s="6">
        <v>2905699</v>
      </c>
      <c r="B1575" s="6" t="s">
        <v>1769</v>
      </c>
      <c r="C1575" s="77">
        <v>2519</v>
      </c>
    </row>
    <row r="1576" spans="1:3" x14ac:dyDescent="0.25">
      <c r="A1576" s="6">
        <v>2905700</v>
      </c>
      <c r="B1576" s="6" t="s">
        <v>1770</v>
      </c>
      <c r="C1576" s="77">
        <v>2080</v>
      </c>
    </row>
    <row r="1577" spans="1:3" x14ac:dyDescent="0.25">
      <c r="A1577" s="6">
        <v>2905701</v>
      </c>
      <c r="B1577" s="6" t="s">
        <v>1771</v>
      </c>
      <c r="C1577" s="77">
        <v>2178</v>
      </c>
    </row>
    <row r="1578" spans="1:3" x14ac:dyDescent="0.25">
      <c r="A1578" s="6">
        <v>2905702</v>
      </c>
      <c r="B1578" s="6" t="s">
        <v>1772</v>
      </c>
      <c r="C1578" s="77">
        <v>4129</v>
      </c>
    </row>
    <row r="1579" spans="1:3" x14ac:dyDescent="0.25">
      <c r="A1579" s="6">
        <v>2905703</v>
      </c>
      <c r="B1579" s="6" t="s">
        <v>1773</v>
      </c>
      <c r="C1579" s="77">
        <v>4391</v>
      </c>
    </row>
    <row r="1580" spans="1:3" x14ac:dyDescent="0.25">
      <c r="A1580" s="6">
        <v>2905704</v>
      </c>
      <c r="B1580" s="6" t="s">
        <v>1774</v>
      </c>
      <c r="C1580" s="77">
        <v>5622</v>
      </c>
    </row>
    <row r="1581" spans="1:3" x14ac:dyDescent="0.25">
      <c r="A1581" s="6">
        <v>2905705</v>
      </c>
      <c r="B1581" s="6" t="s">
        <v>1775</v>
      </c>
      <c r="C1581" s="77">
        <v>6358</v>
      </c>
    </row>
    <row r="1582" spans="1:3" x14ac:dyDescent="0.25">
      <c r="A1582" s="6">
        <v>2905706</v>
      </c>
      <c r="B1582" s="6" t="s">
        <v>1776</v>
      </c>
      <c r="C1582" s="77">
        <v>6278</v>
      </c>
    </row>
    <row r="1583" spans="1:3" x14ac:dyDescent="0.25">
      <c r="A1583" s="6">
        <v>2905707</v>
      </c>
      <c r="B1583" s="6" t="s">
        <v>1777</v>
      </c>
      <c r="C1583" s="77">
        <v>9380</v>
      </c>
    </row>
    <row r="1584" spans="1:3" x14ac:dyDescent="0.25">
      <c r="A1584" s="6">
        <v>2905708</v>
      </c>
      <c r="B1584" s="6" t="s">
        <v>1778</v>
      </c>
      <c r="C1584" s="77">
        <v>5817</v>
      </c>
    </row>
    <row r="1585" spans="1:3" x14ac:dyDescent="0.25">
      <c r="A1585" s="6">
        <v>2905709</v>
      </c>
      <c r="B1585" s="6" t="s">
        <v>1779</v>
      </c>
      <c r="C1585" s="77">
        <v>8563</v>
      </c>
    </row>
    <row r="1586" spans="1:3" x14ac:dyDescent="0.25">
      <c r="A1586" s="6">
        <v>2905710</v>
      </c>
      <c r="B1586" s="6" t="s">
        <v>1780</v>
      </c>
      <c r="C1586" s="77">
        <v>1656</v>
      </c>
    </row>
    <row r="1587" spans="1:3" x14ac:dyDescent="0.25">
      <c r="A1587" s="6">
        <v>2905711</v>
      </c>
      <c r="B1587" s="6" t="s">
        <v>1781</v>
      </c>
      <c r="C1587" s="77">
        <v>1484</v>
      </c>
    </row>
    <row r="1588" spans="1:3" x14ac:dyDescent="0.25">
      <c r="A1588" s="6">
        <v>2905746</v>
      </c>
      <c r="B1588" s="6" t="s">
        <v>1782</v>
      </c>
      <c r="C1588" s="77">
        <v>104430</v>
      </c>
    </row>
    <row r="1589" spans="1:3" x14ac:dyDescent="0.25">
      <c r="A1589" s="6">
        <v>2905757</v>
      </c>
      <c r="B1589" s="6" t="s">
        <v>1783</v>
      </c>
      <c r="C1589" s="77">
        <v>13356</v>
      </c>
    </row>
    <row r="1590" spans="1:3" x14ac:dyDescent="0.25">
      <c r="A1590" s="6">
        <v>2905793</v>
      </c>
      <c r="B1590" s="6" t="s">
        <v>1784</v>
      </c>
      <c r="C1590" s="77">
        <v>30425</v>
      </c>
    </row>
    <row r="1591" spans="1:3" x14ac:dyDescent="0.25">
      <c r="A1591" s="6">
        <v>2905812</v>
      </c>
      <c r="B1591" s="6" t="s">
        <v>1785</v>
      </c>
      <c r="C1591" s="77">
        <v>31764</v>
      </c>
    </row>
    <row r="1592" spans="1:3" x14ac:dyDescent="0.25">
      <c r="A1592" s="6">
        <v>2905813</v>
      </c>
      <c r="B1592" s="6" t="s">
        <v>1786</v>
      </c>
      <c r="C1592" s="77">
        <v>42858</v>
      </c>
    </row>
    <row r="1593" spans="1:3" x14ac:dyDescent="0.25">
      <c r="A1593" s="6">
        <v>2905814</v>
      </c>
      <c r="B1593" s="6" t="s">
        <v>1787</v>
      </c>
      <c r="C1593" s="77">
        <v>53316</v>
      </c>
    </row>
    <row r="1594" spans="1:3" x14ac:dyDescent="0.25">
      <c r="A1594" s="6">
        <v>2905815</v>
      </c>
      <c r="B1594" s="6" t="s">
        <v>1788</v>
      </c>
      <c r="C1594" s="77">
        <v>69616</v>
      </c>
    </row>
    <row r="1595" spans="1:3" x14ac:dyDescent="0.25">
      <c r="A1595" s="6">
        <v>2905816</v>
      </c>
      <c r="B1595" s="6" t="s">
        <v>1789</v>
      </c>
      <c r="C1595" s="77">
        <v>106752</v>
      </c>
    </row>
    <row r="1596" spans="1:3" x14ac:dyDescent="0.25">
      <c r="A1596" s="6">
        <v>2905818</v>
      </c>
      <c r="B1596" s="6" t="s">
        <v>1790</v>
      </c>
      <c r="C1596" s="77">
        <v>23856</v>
      </c>
    </row>
    <row r="1597" spans="1:3" x14ac:dyDescent="0.25">
      <c r="A1597" s="6">
        <v>2905826</v>
      </c>
      <c r="B1597" s="6" t="s">
        <v>1791</v>
      </c>
      <c r="C1597" s="77">
        <v>288755</v>
      </c>
    </row>
    <row r="1598" spans="1:3" x14ac:dyDescent="0.25">
      <c r="A1598" s="6">
        <v>2905850</v>
      </c>
      <c r="B1598" s="6" t="s">
        <v>1792</v>
      </c>
      <c r="C1598" s="77">
        <v>35946</v>
      </c>
    </row>
    <row r="1599" spans="1:3" x14ac:dyDescent="0.25">
      <c r="A1599" s="6">
        <v>2905851</v>
      </c>
      <c r="B1599" s="6" t="s">
        <v>1793</v>
      </c>
      <c r="C1599" s="77">
        <v>53624</v>
      </c>
    </row>
    <row r="1600" spans="1:3" x14ac:dyDescent="0.25">
      <c r="A1600" s="6">
        <v>2905865</v>
      </c>
      <c r="B1600" s="6" t="s">
        <v>1794</v>
      </c>
      <c r="C1600" s="77">
        <v>10988049</v>
      </c>
    </row>
    <row r="1601" spans="1:3" x14ac:dyDescent="0.25">
      <c r="A1601" s="6">
        <v>2905866</v>
      </c>
      <c r="B1601" s="6" t="s">
        <v>1795</v>
      </c>
      <c r="C1601" s="77">
        <v>12899862</v>
      </c>
    </row>
    <row r="1602" spans="1:3" x14ac:dyDescent="0.25">
      <c r="A1602" s="6">
        <v>2905874</v>
      </c>
      <c r="B1602" s="6" t="s">
        <v>1796</v>
      </c>
      <c r="C1602" s="77">
        <v>31884</v>
      </c>
    </row>
    <row r="1603" spans="1:3" x14ac:dyDescent="0.25">
      <c r="A1603" s="6">
        <v>2905875</v>
      </c>
      <c r="B1603" s="6" t="s">
        <v>1797</v>
      </c>
      <c r="C1603" s="77">
        <v>67839</v>
      </c>
    </row>
    <row r="1604" spans="1:3" x14ac:dyDescent="0.25">
      <c r="A1604" s="6">
        <v>2905876</v>
      </c>
      <c r="B1604" s="6" t="s">
        <v>1798</v>
      </c>
      <c r="C1604" s="77">
        <v>70316</v>
      </c>
    </row>
    <row r="1605" spans="1:3" x14ac:dyDescent="0.25">
      <c r="A1605" s="6">
        <v>2905940</v>
      </c>
      <c r="B1605" s="6" t="s">
        <v>1799</v>
      </c>
      <c r="C1605" s="77">
        <v>680086</v>
      </c>
    </row>
    <row r="1606" spans="1:3" x14ac:dyDescent="0.25">
      <c r="A1606" s="6">
        <v>2905941</v>
      </c>
      <c r="B1606" s="6" t="s">
        <v>1800</v>
      </c>
      <c r="C1606" s="77">
        <v>5094789</v>
      </c>
    </row>
    <row r="1607" spans="1:3" x14ac:dyDescent="0.25">
      <c r="A1607" s="6">
        <v>2905945</v>
      </c>
      <c r="B1607" s="6" t="s">
        <v>2892</v>
      </c>
      <c r="C1607" s="77">
        <v>756991</v>
      </c>
    </row>
    <row r="1608" spans="1:3" x14ac:dyDescent="0.25">
      <c r="A1608" s="6">
        <v>2906081</v>
      </c>
      <c r="B1608" s="6" t="s">
        <v>2893</v>
      </c>
      <c r="C1608" s="77">
        <v>186682</v>
      </c>
    </row>
    <row r="1609" spans="1:3" x14ac:dyDescent="0.25">
      <c r="A1609" s="6">
        <v>2906084</v>
      </c>
      <c r="B1609" s="6" t="s">
        <v>1801</v>
      </c>
      <c r="C1609" s="77">
        <v>753751</v>
      </c>
    </row>
    <row r="1610" spans="1:3" x14ac:dyDescent="0.25">
      <c r="A1610" s="6">
        <v>2906089</v>
      </c>
      <c r="B1610" s="6" t="s">
        <v>2894</v>
      </c>
      <c r="C1610" s="77">
        <v>2077857</v>
      </c>
    </row>
    <row r="1611" spans="1:3" x14ac:dyDescent="0.25">
      <c r="A1611" s="6">
        <v>2906116</v>
      </c>
      <c r="B1611" s="6" t="s">
        <v>1802</v>
      </c>
      <c r="C1611" s="77">
        <v>970585</v>
      </c>
    </row>
    <row r="1612" spans="1:3" x14ac:dyDescent="0.25">
      <c r="A1612" s="6">
        <v>2906117</v>
      </c>
      <c r="B1612" s="6" t="s">
        <v>1803</v>
      </c>
      <c r="C1612" s="77">
        <v>347720</v>
      </c>
    </row>
    <row r="1613" spans="1:3" x14ac:dyDescent="0.25">
      <c r="A1613" s="6">
        <v>2906120</v>
      </c>
      <c r="B1613" s="6" t="s">
        <v>1804</v>
      </c>
      <c r="C1613" s="77">
        <v>231120</v>
      </c>
    </row>
    <row r="1614" spans="1:3" x14ac:dyDescent="0.25">
      <c r="A1614" s="6">
        <v>2906122</v>
      </c>
      <c r="B1614" s="6" t="s">
        <v>2895</v>
      </c>
      <c r="C1614" s="77">
        <v>1160100</v>
      </c>
    </row>
    <row r="1615" spans="1:3" x14ac:dyDescent="0.25">
      <c r="A1615" s="6">
        <v>2906134</v>
      </c>
      <c r="B1615" s="6" t="s">
        <v>1805</v>
      </c>
      <c r="C1615" s="77">
        <v>497933</v>
      </c>
    </row>
    <row r="1616" spans="1:3" x14ac:dyDescent="0.25">
      <c r="A1616" s="6">
        <v>2906135</v>
      </c>
      <c r="B1616" s="6" t="s">
        <v>1806</v>
      </c>
      <c r="C1616" s="77">
        <v>560425</v>
      </c>
    </row>
    <row r="1617" spans="1:3" x14ac:dyDescent="0.25">
      <c r="A1617" s="6">
        <v>2906140</v>
      </c>
      <c r="B1617" s="6" t="s">
        <v>1807</v>
      </c>
      <c r="C1617" s="77">
        <v>2276235</v>
      </c>
    </row>
    <row r="1618" spans="1:3" x14ac:dyDescent="0.25">
      <c r="A1618" s="6">
        <v>2906141</v>
      </c>
      <c r="B1618" s="6" t="s">
        <v>1808</v>
      </c>
      <c r="C1618" s="77">
        <v>1106681</v>
      </c>
    </row>
    <row r="1619" spans="1:3" x14ac:dyDescent="0.25">
      <c r="A1619" s="6">
        <v>2906159</v>
      </c>
      <c r="B1619" s="6" t="s">
        <v>1809</v>
      </c>
      <c r="C1619" s="77">
        <v>518918</v>
      </c>
    </row>
    <row r="1620" spans="1:3" x14ac:dyDescent="0.25">
      <c r="A1620" s="6">
        <v>2906170</v>
      </c>
      <c r="B1620" s="6" t="s">
        <v>1810</v>
      </c>
      <c r="C1620" s="77">
        <v>5956161</v>
      </c>
    </row>
    <row r="1621" spans="1:3" x14ac:dyDescent="0.25">
      <c r="A1621" s="6">
        <v>2906203</v>
      </c>
      <c r="B1621" s="6" t="s">
        <v>2896</v>
      </c>
      <c r="C1621" s="77">
        <v>1020143</v>
      </c>
    </row>
    <row r="1622" spans="1:3" x14ac:dyDescent="0.25">
      <c r="A1622" s="6">
        <v>2906205</v>
      </c>
      <c r="B1622" s="6" t="s">
        <v>1811</v>
      </c>
      <c r="C1622" s="77">
        <v>54259</v>
      </c>
    </row>
    <row r="1623" spans="1:3" x14ac:dyDescent="0.25">
      <c r="A1623" s="6">
        <v>2906206</v>
      </c>
      <c r="B1623" s="6" t="s">
        <v>1812</v>
      </c>
      <c r="C1623" s="77">
        <v>72115</v>
      </c>
    </row>
    <row r="1624" spans="1:3" x14ac:dyDescent="0.25">
      <c r="A1624" s="6">
        <v>2906207</v>
      </c>
      <c r="B1624" s="6" t="s">
        <v>2897</v>
      </c>
      <c r="C1624" s="77">
        <v>10238</v>
      </c>
    </row>
    <row r="1625" spans="1:3" x14ac:dyDescent="0.25">
      <c r="A1625" s="6">
        <v>2906218</v>
      </c>
      <c r="B1625" s="6" t="s">
        <v>1813</v>
      </c>
      <c r="C1625" s="77">
        <v>1077816</v>
      </c>
    </row>
    <row r="1626" spans="1:3" x14ac:dyDescent="0.25">
      <c r="A1626" s="6">
        <v>2906313</v>
      </c>
      <c r="B1626" s="6" t="s">
        <v>1814</v>
      </c>
      <c r="C1626" s="77">
        <v>2961147</v>
      </c>
    </row>
    <row r="1627" spans="1:3" x14ac:dyDescent="0.25">
      <c r="A1627" s="6">
        <v>2906320</v>
      </c>
      <c r="B1627" s="6" t="s">
        <v>1815</v>
      </c>
      <c r="C1627" s="77">
        <v>110161</v>
      </c>
    </row>
    <row r="1628" spans="1:3" x14ac:dyDescent="0.25">
      <c r="A1628" s="6">
        <v>2906333</v>
      </c>
      <c r="B1628" s="6" t="s">
        <v>1816</v>
      </c>
      <c r="C1628" s="77">
        <v>2333095</v>
      </c>
    </row>
    <row r="1629" spans="1:3" x14ac:dyDescent="0.25">
      <c r="A1629" s="6">
        <v>2906336</v>
      </c>
      <c r="B1629" s="6" t="s">
        <v>1817</v>
      </c>
      <c r="C1629" s="77">
        <v>30898</v>
      </c>
    </row>
    <row r="1630" spans="1:3" x14ac:dyDescent="0.25">
      <c r="A1630" s="6">
        <v>2906337</v>
      </c>
      <c r="B1630" s="6" t="s">
        <v>1818</v>
      </c>
      <c r="C1630" s="77">
        <v>46674</v>
      </c>
    </row>
    <row r="1631" spans="1:3" x14ac:dyDescent="0.25">
      <c r="A1631" s="6">
        <v>2906362</v>
      </c>
      <c r="B1631" s="6" t="s">
        <v>2898</v>
      </c>
      <c r="C1631" s="77">
        <v>5425620</v>
      </c>
    </row>
    <row r="1632" spans="1:3" x14ac:dyDescent="0.25">
      <c r="A1632" s="6">
        <v>2906378</v>
      </c>
      <c r="B1632" s="6" t="s">
        <v>1819</v>
      </c>
      <c r="C1632" s="77">
        <v>4424572</v>
      </c>
    </row>
    <row r="1633" spans="1:3" x14ac:dyDescent="0.25">
      <c r="A1633" s="6">
        <v>2906396</v>
      </c>
      <c r="B1633" s="6" t="s">
        <v>1820</v>
      </c>
      <c r="C1633" s="77">
        <v>214086</v>
      </c>
    </row>
    <row r="1634" spans="1:3" x14ac:dyDescent="0.25">
      <c r="A1634" s="6">
        <v>2906463</v>
      </c>
      <c r="B1634" s="6" t="s">
        <v>1821</v>
      </c>
      <c r="C1634" s="77">
        <v>133480</v>
      </c>
    </row>
    <row r="1635" spans="1:3" x14ac:dyDescent="0.25">
      <c r="A1635" s="6">
        <v>2906474</v>
      </c>
      <c r="B1635" s="6" t="s">
        <v>2899</v>
      </c>
      <c r="C1635" s="77">
        <v>758953</v>
      </c>
    </row>
    <row r="1636" spans="1:3" x14ac:dyDescent="0.25">
      <c r="A1636" s="6">
        <v>2906508</v>
      </c>
      <c r="B1636" s="6" t="s">
        <v>1822</v>
      </c>
      <c r="C1636" s="77">
        <v>42196</v>
      </c>
    </row>
    <row r="1637" spans="1:3" x14ac:dyDescent="0.25">
      <c r="A1637" s="6">
        <v>2906509</v>
      </c>
      <c r="B1637" s="6" t="s">
        <v>1823</v>
      </c>
      <c r="C1637" s="77">
        <v>62057</v>
      </c>
    </row>
    <row r="1638" spans="1:3" x14ac:dyDescent="0.25">
      <c r="A1638" s="6">
        <v>2906510</v>
      </c>
      <c r="B1638" s="6" t="s">
        <v>1824</v>
      </c>
      <c r="C1638" s="77">
        <v>118824</v>
      </c>
    </row>
    <row r="1639" spans="1:3" x14ac:dyDescent="0.25">
      <c r="A1639" s="6">
        <v>2906511</v>
      </c>
      <c r="B1639" s="6" t="s">
        <v>1825</v>
      </c>
      <c r="C1639" s="77">
        <v>222169</v>
      </c>
    </row>
    <row r="1640" spans="1:3" x14ac:dyDescent="0.25">
      <c r="A1640" s="6">
        <v>2906512</v>
      </c>
      <c r="B1640" s="6" t="s">
        <v>1826</v>
      </c>
      <c r="C1640" s="77">
        <v>37717</v>
      </c>
    </row>
    <row r="1641" spans="1:3" x14ac:dyDescent="0.25">
      <c r="A1641" s="6">
        <v>2906513</v>
      </c>
      <c r="B1641" s="6" t="s">
        <v>1827</v>
      </c>
      <c r="C1641" s="77">
        <v>43471</v>
      </c>
    </row>
    <row r="1642" spans="1:3" x14ac:dyDescent="0.25">
      <c r="A1642" s="6">
        <v>2906514</v>
      </c>
      <c r="B1642" s="6" t="s">
        <v>1828</v>
      </c>
      <c r="C1642" s="77">
        <v>51429</v>
      </c>
    </row>
    <row r="1643" spans="1:3" x14ac:dyDescent="0.25">
      <c r="A1643" s="6">
        <v>2906515</v>
      </c>
      <c r="B1643" s="6" t="s">
        <v>1829</v>
      </c>
      <c r="C1643" s="77">
        <v>131275</v>
      </c>
    </row>
    <row r="1644" spans="1:3" x14ac:dyDescent="0.25">
      <c r="A1644" s="6">
        <v>2906516</v>
      </c>
      <c r="B1644" s="6" t="s">
        <v>1830</v>
      </c>
      <c r="C1644" s="77">
        <v>50464</v>
      </c>
    </row>
    <row r="1645" spans="1:3" x14ac:dyDescent="0.25">
      <c r="A1645" s="6">
        <v>2906517</v>
      </c>
      <c r="B1645" s="6" t="s">
        <v>1831</v>
      </c>
      <c r="C1645" s="77">
        <v>43242</v>
      </c>
    </row>
    <row r="1646" spans="1:3" x14ac:dyDescent="0.25">
      <c r="A1646" s="6">
        <v>2906518</v>
      </c>
      <c r="B1646" s="6" t="s">
        <v>1832</v>
      </c>
      <c r="C1646" s="77">
        <v>55176</v>
      </c>
    </row>
    <row r="1647" spans="1:3" x14ac:dyDescent="0.25">
      <c r="A1647" s="6">
        <v>2906519</v>
      </c>
      <c r="B1647" s="6" t="s">
        <v>1833</v>
      </c>
      <c r="C1647" s="77">
        <v>58706</v>
      </c>
    </row>
    <row r="1648" spans="1:3" x14ac:dyDescent="0.25">
      <c r="A1648" s="6">
        <v>2906523</v>
      </c>
      <c r="B1648" s="6" t="s">
        <v>1834</v>
      </c>
      <c r="C1648" s="77">
        <v>23646</v>
      </c>
    </row>
    <row r="1649" spans="1:3" x14ac:dyDescent="0.25">
      <c r="A1649" s="6">
        <v>2906524</v>
      </c>
      <c r="B1649" s="6" t="s">
        <v>1835</v>
      </c>
      <c r="C1649" s="77">
        <v>70861</v>
      </c>
    </row>
    <row r="1650" spans="1:3" x14ac:dyDescent="0.25">
      <c r="A1650" s="6">
        <v>2906525</v>
      </c>
      <c r="B1650" s="6" t="s">
        <v>1836</v>
      </c>
      <c r="C1650" s="77">
        <v>96093</v>
      </c>
    </row>
    <row r="1651" spans="1:3" x14ac:dyDescent="0.25">
      <c r="A1651" s="6">
        <v>2906526</v>
      </c>
      <c r="B1651" s="6" t="s">
        <v>2900</v>
      </c>
      <c r="C1651" s="77">
        <v>42675</v>
      </c>
    </row>
    <row r="1652" spans="1:3" x14ac:dyDescent="0.25">
      <c r="A1652" s="6">
        <v>2906527</v>
      </c>
      <c r="B1652" s="6" t="s">
        <v>1837</v>
      </c>
      <c r="C1652" s="77">
        <v>79370</v>
      </c>
    </row>
    <row r="1653" spans="1:3" x14ac:dyDescent="0.25">
      <c r="A1653" s="6">
        <v>2906528</v>
      </c>
      <c r="B1653" s="6" t="s">
        <v>1838</v>
      </c>
      <c r="C1653" s="77">
        <v>128766</v>
      </c>
    </row>
    <row r="1654" spans="1:3" x14ac:dyDescent="0.25">
      <c r="A1654" s="6">
        <v>2906529</v>
      </c>
      <c r="B1654" s="6" t="s">
        <v>1839</v>
      </c>
      <c r="C1654" s="77">
        <v>362337</v>
      </c>
    </row>
    <row r="1655" spans="1:3" x14ac:dyDescent="0.25">
      <c r="A1655" s="6">
        <v>2906600</v>
      </c>
      <c r="B1655" s="6" t="s">
        <v>1840</v>
      </c>
      <c r="C1655" s="77">
        <v>5165</v>
      </c>
    </row>
    <row r="1656" spans="1:3" x14ac:dyDescent="0.25">
      <c r="A1656" s="6">
        <v>2906601</v>
      </c>
      <c r="B1656" s="6" t="s">
        <v>1841</v>
      </c>
      <c r="C1656" s="77">
        <v>9210</v>
      </c>
    </row>
    <row r="1657" spans="1:3" x14ac:dyDescent="0.25">
      <c r="A1657" s="6">
        <v>2906602</v>
      </c>
      <c r="B1657" s="6" t="s">
        <v>1842</v>
      </c>
      <c r="C1657" s="77">
        <v>3913</v>
      </c>
    </row>
    <row r="1658" spans="1:3" x14ac:dyDescent="0.25">
      <c r="A1658" s="6">
        <v>2906642</v>
      </c>
      <c r="B1658" s="6" t="s">
        <v>1843</v>
      </c>
      <c r="C1658" s="77">
        <v>221815</v>
      </c>
    </row>
    <row r="1659" spans="1:3" x14ac:dyDescent="0.25">
      <c r="A1659" s="6">
        <v>2906643</v>
      </c>
      <c r="B1659" s="6" t="s">
        <v>1844</v>
      </c>
      <c r="C1659" s="77">
        <v>221817</v>
      </c>
    </row>
    <row r="1660" spans="1:3" x14ac:dyDescent="0.25">
      <c r="A1660" s="6">
        <v>2906644</v>
      </c>
      <c r="B1660" s="6" t="s">
        <v>1845</v>
      </c>
      <c r="C1660" s="77">
        <v>117076</v>
      </c>
    </row>
    <row r="1661" spans="1:3" x14ac:dyDescent="0.25">
      <c r="A1661" s="6">
        <v>2906645</v>
      </c>
      <c r="B1661" s="6" t="s">
        <v>1846</v>
      </c>
      <c r="C1661" s="77">
        <v>206848</v>
      </c>
    </row>
    <row r="1662" spans="1:3" x14ac:dyDescent="0.25">
      <c r="A1662" s="6">
        <v>2906646</v>
      </c>
      <c r="B1662" s="6" t="s">
        <v>1847</v>
      </c>
      <c r="C1662" s="77">
        <v>15483</v>
      </c>
    </row>
    <row r="1663" spans="1:3" x14ac:dyDescent="0.25">
      <c r="A1663" s="6">
        <v>2906647</v>
      </c>
      <c r="B1663" s="6" t="s">
        <v>1848</v>
      </c>
      <c r="C1663" s="77">
        <v>19765</v>
      </c>
    </row>
    <row r="1664" spans="1:3" x14ac:dyDescent="0.25">
      <c r="A1664" s="6">
        <v>2906648</v>
      </c>
      <c r="B1664" s="6" t="s">
        <v>1849</v>
      </c>
      <c r="C1664" s="77">
        <v>151641</v>
      </c>
    </row>
    <row r="1665" spans="1:3" x14ac:dyDescent="0.25">
      <c r="A1665" s="6">
        <v>2906649</v>
      </c>
      <c r="B1665" s="6" t="s">
        <v>1850</v>
      </c>
      <c r="C1665" s="77">
        <v>259109</v>
      </c>
    </row>
    <row r="1666" spans="1:3" x14ac:dyDescent="0.25">
      <c r="A1666" s="6">
        <v>2906650</v>
      </c>
      <c r="B1666" s="6" t="s">
        <v>1851</v>
      </c>
      <c r="C1666" s="77">
        <v>146716</v>
      </c>
    </row>
    <row r="1667" spans="1:3" x14ac:dyDescent="0.25">
      <c r="A1667" s="6">
        <v>2906692</v>
      </c>
      <c r="B1667" s="6" t="s">
        <v>1852</v>
      </c>
      <c r="C1667" s="77">
        <v>5448</v>
      </c>
    </row>
    <row r="1668" spans="1:3" x14ac:dyDescent="0.25">
      <c r="A1668" s="6">
        <v>2906693</v>
      </c>
      <c r="B1668" s="6" t="s">
        <v>1853</v>
      </c>
      <c r="C1668" s="77">
        <v>7679</v>
      </c>
    </row>
    <row r="1669" spans="1:3" x14ac:dyDescent="0.25">
      <c r="A1669" s="6">
        <v>2906744</v>
      </c>
      <c r="B1669" s="6" t="s">
        <v>1854</v>
      </c>
      <c r="C1669" s="77">
        <v>6407</v>
      </c>
    </row>
    <row r="1670" spans="1:3" x14ac:dyDescent="0.25">
      <c r="A1670" s="6">
        <v>2906753</v>
      </c>
      <c r="B1670" s="6" t="s">
        <v>1855</v>
      </c>
      <c r="C1670" s="77">
        <v>549774</v>
      </c>
    </row>
    <row r="1671" spans="1:3" x14ac:dyDescent="0.25">
      <c r="A1671" s="6">
        <v>2906796</v>
      </c>
      <c r="B1671" s="6" t="s">
        <v>1856</v>
      </c>
      <c r="C1671" s="77">
        <v>1186789</v>
      </c>
    </row>
    <row r="1672" spans="1:3" x14ac:dyDescent="0.25">
      <c r="A1672" s="6">
        <v>2906801</v>
      </c>
      <c r="B1672" s="6" t="s">
        <v>1857</v>
      </c>
      <c r="C1672" s="77">
        <v>118493</v>
      </c>
    </row>
    <row r="1673" spans="1:3" x14ac:dyDescent="0.25">
      <c r="A1673" s="6">
        <v>2906803</v>
      </c>
      <c r="B1673" s="6" t="s">
        <v>1858</v>
      </c>
      <c r="C1673" s="77">
        <v>12539</v>
      </c>
    </row>
    <row r="1674" spans="1:3" x14ac:dyDescent="0.25">
      <c r="A1674" s="6">
        <v>2906817</v>
      </c>
      <c r="B1674" s="6" t="s">
        <v>1859</v>
      </c>
      <c r="C1674" s="77">
        <v>1336124</v>
      </c>
    </row>
    <row r="1675" spans="1:3" x14ac:dyDescent="0.25">
      <c r="A1675" s="6">
        <v>2906838</v>
      </c>
      <c r="B1675" s="6" t="s">
        <v>2901</v>
      </c>
      <c r="C1675" s="77">
        <v>675370</v>
      </c>
    </row>
    <row r="1676" spans="1:3" x14ac:dyDescent="0.25">
      <c r="A1676" s="6">
        <v>2906844</v>
      </c>
      <c r="B1676" s="6" t="s">
        <v>1860</v>
      </c>
      <c r="C1676" s="77">
        <v>345139</v>
      </c>
    </row>
    <row r="1677" spans="1:3" x14ac:dyDescent="0.25">
      <c r="A1677" s="6">
        <v>2906845</v>
      </c>
      <c r="B1677" s="6" t="s">
        <v>1861</v>
      </c>
      <c r="C1677" s="77">
        <v>397283</v>
      </c>
    </row>
    <row r="1678" spans="1:3" x14ac:dyDescent="0.25">
      <c r="A1678" s="6">
        <v>2906846</v>
      </c>
      <c r="B1678" s="6" t="s">
        <v>1862</v>
      </c>
      <c r="C1678" s="77">
        <v>451480</v>
      </c>
    </row>
    <row r="1679" spans="1:3" x14ac:dyDescent="0.25">
      <c r="A1679" s="6">
        <v>2906847</v>
      </c>
      <c r="B1679" s="6" t="s">
        <v>1863</v>
      </c>
      <c r="C1679" s="77">
        <v>505669</v>
      </c>
    </row>
    <row r="1680" spans="1:3" x14ac:dyDescent="0.25">
      <c r="A1680" s="6">
        <v>2906856</v>
      </c>
      <c r="B1680" s="6" t="s">
        <v>1864</v>
      </c>
      <c r="C1680" s="77">
        <v>481750</v>
      </c>
    </row>
    <row r="1681" spans="1:3" x14ac:dyDescent="0.25">
      <c r="A1681" s="6">
        <v>2906859</v>
      </c>
      <c r="B1681" s="6" t="s">
        <v>1865</v>
      </c>
      <c r="C1681" s="77">
        <v>976052</v>
      </c>
    </row>
    <row r="1682" spans="1:3" x14ac:dyDescent="0.25">
      <c r="A1682" s="6">
        <v>2906860</v>
      </c>
      <c r="B1682" s="6" t="s">
        <v>1866</v>
      </c>
      <c r="C1682" s="77">
        <v>1234031</v>
      </c>
    </row>
    <row r="1683" spans="1:3" x14ac:dyDescent="0.25">
      <c r="A1683" s="6">
        <v>2906861</v>
      </c>
      <c r="B1683" s="6" t="s">
        <v>1867</v>
      </c>
      <c r="C1683" s="77">
        <v>2091543</v>
      </c>
    </row>
    <row r="1684" spans="1:3" x14ac:dyDescent="0.25">
      <c r="A1684" s="6">
        <v>2906862</v>
      </c>
      <c r="B1684" s="6" t="s">
        <v>1868</v>
      </c>
      <c r="C1684" s="77">
        <v>14758</v>
      </c>
    </row>
    <row r="1685" spans="1:3" x14ac:dyDescent="0.25">
      <c r="A1685" s="6">
        <v>2906863</v>
      </c>
      <c r="B1685" s="6" t="s">
        <v>1869</v>
      </c>
      <c r="C1685" s="77">
        <v>83894</v>
      </c>
    </row>
    <row r="1686" spans="1:3" x14ac:dyDescent="0.25">
      <c r="A1686" s="6">
        <v>2906864</v>
      </c>
      <c r="B1686" s="6" t="s">
        <v>1870</v>
      </c>
      <c r="C1686" s="77">
        <v>146894</v>
      </c>
    </row>
    <row r="1687" spans="1:3" x14ac:dyDescent="0.25">
      <c r="A1687" s="6">
        <v>2906865</v>
      </c>
      <c r="B1687" s="6" t="s">
        <v>1871</v>
      </c>
      <c r="C1687" s="77">
        <v>20393</v>
      </c>
    </row>
    <row r="1688" spans="1:3" x14ac:dyDescent="0.25">
      <c r="A1688" s="6">
        <v>2906866</v>
      </c>
      <c r="B1688" s="6" t="s">
        <v>1872</v>
      </c>
      <c r="C1688" s="77">
        <v>74663</v>
      </c>
    </row>
    <row r="1689" spans="1:3" x14ac:dyDescent="0.25">
      <c r="A1689" s="6">
        <v>2906868</v>
      </c>
      <c r="B1689" s="6" t="s">
        <v>1873</v>
      </c>
      <c r="C1689" s="77">
        <v>71545</v>
      </c>
    </row>
    <row r="1690" spans="1:3" x14ac:dyDescent="0.25">
      <c r="A1690" s="6">
        <v>2906869</v>
      </c>
      <c r="B1690" s="6" t="s">
        <v>1874</v>
      </c>
      <c r="C1690" s="77">
        <v>156713</v>
      </c>
    </row>
    <row r="1691" spans="1:3" x14ac:dyDescent="0.25">
      <c r="A1691" s="6">
        <v>2906870</v>
      </c>
      <c r="B1691" s="6" t="s">
        <v>1875</v>
      </c>
      <c r="C1691" s="77">
        <v>161973</v>
      </c>
    </row>
    <row r="1692" spans="1:3" x14ac:dyDescent="0.25">
      <c r="A1692" s="6">
        <v>2906871</v>
      </c>
      <c r="B1692" s="6" t="s">
        <v>1876</v>
      </c>
      <c r="C1692" s="77">
        <v>145995</v>
      </c>
    </row>
    <row r="1693" spans="1:3" x14ac:dyDescent="0.25">
      <c r="A1693" s="6">
        <v>2906872</v>
      </c>
      <c r="B1693" s="6" t="s">
        <v>1877</v>
      </c>
      <c r="C1693" s="77">
        <v>178563</v>
      </c>
    </row>
    <row r="1694" spans="1:3" x14ac:dyDescent="0.25">
      <c r="A1694" s="6">
        <v>2906873</v>
      </c>
      <c r="B1694" s="6" t="s">
        <v>1878</v>
      </c>
      <c r="C1694" s="77">
        <v>269427</v>
      </c>
    </row>
    <row r="1695" spans="1:3" x14ac:dyDescent="0.25">
      <c r="A1695" s="6">
        <v>2906874</v>
      </c>
      <c r="B1695" s="6" t="s">
        <v>1879</v>
      </c>
      <c r="C1695" s="77">
        <v>136023</v>
      </c>
    </row>
    <row r="1696" spans="1:3" x14ac:dyDescent="0.25">
      <c r="A1696" s="6">
        <v>2906875</v>
      </c>
      <c r="B1696" s="6" t="s">
        <v>1880</v>
      </c>
      <c r="C1696" s="77">
        <v>148728</v>
      </c>
    </row>
    <row r="1697" spans="1:3" x14ac:dyDescent="0.25">
      <c r="A1697" s="6">
        <v>2906876</v>
      </c>
      <c r="B1697" s="6" t="s">
        <v>1881</v>
      </c>
      <c r="C1697" s="77">
        <v>155638</v>
      </c>
    </row>
    <row r="1698" spans="1:3" x14ac:dyDescent="0.25">
      <c r="A1698" s="6">
        <v>2906877</v>
      </c>
      <c r="B1698" s="6" t="s">
        <v>1882</v>
      </c>
      <c r="C1698" s="77">
        <v>192081</v>
      </c>
    </row>
    <row r="1699" spans="1:3" x14ac:dyDescent="0.25">
      <c r="A1699" s="6">
        <v>2906878</v>
      </c>
      <c r="B1699" s="6" t="s">
        <v>1883</v>
      </c>
      <c r="C1699" s="77">
        <v>250510</v>
      </c>
    </row>
    <row r="1700" spans="1:3" x14ac:dyDescent="0.25">
      <c r="A1700" s="6">
        <v>2906879</v>
      </c>
      <c r="B1700" s="6" t="s">
        <v>1884</v>
      </c>
      <c r="C1700" s="77">
        <v>308938</v>
      </c>
    </row>
    <row r="1701" spans="1:3" x14ac:dyDescent="0.25">
      <c r="A1701" s="6">
        <v>2906880</v>
      </c>
      <c r="B1701" s="6" t="s">
        <v>1885</v>
      </c>
      <c r="C1701" s="77">
        <v>98164</v>
      </c>
    </row>
    <row r="1702" spans="1:3" x14ac:dyDescent="0.25">
      <c r="A1702" s="6">
        <v>2906881</v>
      </c>
      <c r="B1702" s="6" t="s">
        <v>1886</v>
      </c>
      <c r="C1702" s="77">
        <v>158257</v>
      </c>
    </row>
    <row r="1703" spans="1:3" x14ac:dyDescent="0.25">
      <c r="A1703" s="6">
        <v>2906882</v>
      </c>
      <c r="B1703" s="6" t="s">
        <v>1887</v>
      </c>
      <c r="C1703" s="77">
        <v>256170</v>
      </c>
    </row>
    <row r="1704" spans="1:3" x14ac:dyDescent="0.25">
      <c r="A1704" s="6">
        <v>2906914</v>
      </c>
      <c r="B1704" s="6" t="s">
        <v>1888</v>
      </c>
      <c r="C1704" s="77">
        <v>927504</v>
      </c>
    </row>
    <row r="1705" spans="1:3" x14ac:dyDescent="0.25">
      <c r="A1705" s="6">
        <v>2906919</v>
      </c>
      <c r="B1705" s="6" t="s">
        <v>1889</v>
      </c>
      <c r="C1705" s="77">
        <v>1024896</v>
      </c>
    </row>
    <row r="1706" spans="1:3" x14ac:dyDescent="0.25">
      <c r="A1706" s="6">
        <v>2906920</v>
      </c>
      <c r="B1706" s="6" t="s">
        <v>1890</v>
      </c>
      <c r="C1706" s="77">
        <v>979485</v>
      </c>
    </row>
    <row r="1707" spans="1:3" x14ac:dyDescent="0.25">
      <c r="A1707" s="6">
        <v>2906921</v>
      </c>
      <c r="B1707" s="6" t="s">
        <v>1891</v>
      </c>
      <c r="C1707" s="77">
        <v>127442</v>
      </c>
    </row>
    <row r="1708" spans="1:3" x14ac:dyDescent="0.25">
      <c r="A1708" s="6">
        <v>2906922</v>
      </c>
      <c r="B1708" s="6" t="s">
        <v>1892</v>
      </c>
      <c r="C1708" s="77">
        <v>150120</v>
      </c>
    </row>
    <row r="1709" spans="1:3" x14ac:dyDescent="0.25">
      <c r="A1709" s="6">
        <v>2906932</v>
      </c>
      <c r="B1709" s="6" t="s">
        <v>1893</v>
      </c>
      <c r="C1709" s="77">
        <v>880589</v>
      </c>
    </row>
    <row r="1710" spans="1:3" x14ac:dyDescent="0.25">
      <c r="A1710" s="6">
        <v>2906933</v>
      </c>
      <c r="B1710" s="6" t="s">
        <v>1894</v>
      </c>
      <c r="C1710" s="77">
        <v>810819</v>
      </c>
    </row>
    <row r="1711" spans="1:3" x14ac:dyDescent="0.25">
      <c r="A1711" s="6">
        <v>2906934</v>
      </c>
      <c r="B1711" s="6" t="s">
        <v>1895</v>
      </c>
      <c r="C1711" s="77">
        <v>886034</v>
      </c>
    </row>
    <row r="1712" spans="1:3" x14ac:dyDescent="0.25">
      <c r="A1712" s="6">
        <v>2906935</v>
      </c>
      <c r="B1712" s="6" t="s">
        <v>2902</v>
      </c>
      <c r="C1712" s="77">
        <v>841301</v>
      </c>
    </row>
    <row r="1713" spans="1:3" x14ac:dyDescent="0.25">
      <c r="A1713" s="6">
        <v>2906942</v>
      </c>
      <c r="B1713" s="6" t="s">
        <v>2903</v>
      </c>
      <c r="C1713" s="77">
        <v>1065244</v>
      </c>
    </row>
    <row r="1714" spans="1:3" x14ac:dyDescent="0.25">
      <c r="A1714" s="6">
        <v>2906943</v>
      </c>
      <c r="B1714" s="6" t="s">
        <v>1896</v>
      </c>
      <c r="C1714" s="77">
        <v>770451</v>
      </c>
    </row>
    <row r="1715" spans="1:3" x14ac:dyDescent="0.25">
      <c r="A1715" s="6">
        <v>2906944</v>
      </c>
      <c r="B1715" s="6" t="s">
        <v>1897</v>
      </c>
      <c r="C1715" s="77">
        <v>996352</v>
      </c>
    </row>
    <row r="1716" spans="1:3" x14ac:dyDescent="0.25">
      <c r="A1716" s="6">
        <v>2906968</v>
      </c>
      <c r="B1716" s="6" t="s">
        <v>1898</v>
      </c>
      <c r="C1716" s="77">
        <v>65748</v>
      </c>
    </row>
    <row r="1717" spans="1:3" x14ac:dyDescent="0.25">
      <c r="A1717" s="6">
        <v>2906969</v>
      </c>
      <c r="B1717" s="6" t="s">
        <v>1899</v>
      </c>
      <c r="C1717" s="77">
        <v>75084</v>
      </c>
    </row>
    <row r="1718" spans="1:3" x14ac:dyDescent="0.25">
      <c r="A1718" s="6">
        <v>2906970</v>
      </c>
      <c r="B1718" s="6" t="s">
        <v>1900</v>
      </c>
      <c r="C1718" s="77">
        <v>36009</v>
      </c>
    </row>
    <row r="1719" spans="1:3" x14ac:dyDescent="0.25">
      <c r="A1719" s="6">
        <v>2906989</v>
      </c>
      <c r="B1719" s="6" t="s">
        <v>1901</v>
      </c>
      <c r="C1719" s="77">
        <v>1160100</v>
      </c>
    </row>
    <row r="1720" spans="1:3" x14ac:dyDescent="0.25">
      <c r="A1720" s="6">
        <v>2906990</v>
      </c>
      <c r="B1720" s="6" t="s">
        <v>1902</v>
      </c>
      <c r="C1720" s="77">
        <v>1159667</v>
      </c>
    </row>
    <row r="1721" spans="1:3" x14ac:dyDescent="0.25">
      <c r="A1721" s="6">
        <v>2906991</v>
      </c>
      <c r="B1721" s="6" t="s">
        <v>1903</v>
      </c>
      <c r="C1721" s="77">
        <v>1267180</v>
      </c>
    </row>
    <row r="1722" spans="1:3" x14ac:dyDescent="0.25">
      <c r="A1722" s="6">
        <v>2906992</v>
      </c>
      <c r="B1722" s="6" t="s">
        <v>1904</v>
      </c>
      <c r="C1722" s="77">
        <v>1295576</v>
      </c>
    </row>
    <row r="1723" spans="1:3" x14ac:dyDescent="0.25">
      <c r="A1723" s="6">
        <v>2906996</v>
      </c>
      <c r="B1723" s="6" t="s">
        <v>1905</v>
      </c>
      <c r="C1723" s="77">
        <v>337427</v>
      </c>
    </row>
    <row r="1724" spans="1:3" x14ac:dyDescent="0.25">
      <c r="A1724" s="6">
        <v>2906997</v>
      </c>
      <c r="B1724" s="6" t="s">
        <v>1906</v>
      </c>
      <c r="C1724" s="77">
        <v>458626</v>
      </c>
    </row>
    <row r="1725" spans="1:3" x14ac:dyDescent="0.25">
      <c r="A1725" s="6">
        <v>2906999</v>
      </c>
      <c r="B1725" s="6" t="s">
        <v>1907</v>
      </c>
      <c r="C1725" s="77">
        <v>732239</v>
      </c>
    </row>
    <row r="1726" spans="1:3" x14ac:dyDescent="0.25">
      <c r="A1726" s="6">
        <v>2907000</v>
      </c>
      <c r="B1726" s="6" t="s">
        <v>1908</v>
      </c>
      <c r="C1726" s="77">
        <v>13313</v>
      </c>
    </row>
    <row r="1727" spans="1:3" x14ac:dyDescent="0.25">
      <c r="A1727" s="6">
        <v>2907011</v>
      </c>
      <c r="B1727" s="6" t="s">
        <v>1909</v>
      </c>
      <c r="C1727" s="77">
        <v>344107</v>
      </c>
    </row>
    <row r="1728" spans="1:3" x14ac:dyDescent="0.25">
      <c r="A1728" s="6">
        <v>2907012</v>
      </c>
      <c r="B1728" s="6" t="s">
        <v>1910</v>
      </c>
      <c r="C1728" s="77">
        <v>435634</v>
      </c>
    </row>
    <row r="1729" spans="1:3" x14ac:dyDescent="0.25">
      <c r="A1729" s="6">
        <v>2907013</v>
      </c>
      <c r="B1729" s="6" t="s">
        <v>1911</v>
      </c>
      <c r="C1729" s="77">
        <v>482318</v>
      </c>
    </row>
    <row r="1730" spans="1:3" x14ac:dyDescent="0.25">
      <c r="A1730" s="6">
        <v>2907014</v>
      </c>
      <c r="B1730" s="6" t="s">
        <v>1912</v>
      </c>
      <c r="C1730" s="77">
        <v>733233</v>
      </c>
    </row>
    <row r="1731" spans="1:3" x14ac:dyDescent="0.25">
      <c r="A1731" s="6">
        <v>2907015</v>
      </c>
      <c r="B1731" s="6" t="s">
        <v>1913</v>
      </c>
      <c r="C1731" s="77">
        <v>708535</v>
      </c>
    </row>
    <row r="1732" spans="1:3" x14ac:dyDescent="0.25">
      <c r="A1732" s="6">
        <v>2907016</v>
      </c>
      <c r="B1732" s="6" t="s">
        <v>1914</v>
      </c>
      <c r="C1732" s="77">
        <v>620828</v>
      </c>
    </row>
    <row r="1733" spans="1:3" x14ac:dyDescent="0.25">
      <c r="A1733" s="6">
        <v>2907017</v>
      </c>
      <c r="B1733" s="6" t="s">
        <v>1915</v>
      </c>
      <c r="C1733" s="77">
        <v>922898</v>
      </c>
    </row>
    <row r="1734" spans="1:3" x14ac:dyDescent="0.25">
      <c r="A1734" s="6">
        <v>2907177</v>
      </c>
      <c r="B1734" s="6" t="s">
        <v>1916</v>
      </c>
      <c r="C1734" s="77">
        <v>4599329</v>
      </c>
    </row>
    <row r="1735" spans="1:3" x14ac:dyDescent="0.25">
      <c r="A1735" s="6">
        <v>2907179</v>
      </c>
      <c r="B1735" s="6" t="s">
        <v>2904</v>
      </c>
      <c r="C1735" s="77">
        <v>4548919</v>
      </c>
    </row>
    <row r="1736" spans="1:3" x14ac:dyDescent="0.25">
      <c r="A1736" s="6">
        <v>2907180</v>
      </c>
      <c r="B1736" s="6" t="s">
        <v>1917</v>
      </c>
      <c r="C1736" s="77">
        <v>121540</v>
      </c>
    </row>
    <row r="1737" spans="1:3" x14ac:dyDescent="0.25">
      <c r="A1737" s="6">
        <v>2907181</v>
      </c>
      <c r="B1737" s="6" t="s">
        <v>1918</v>
      </c>
      <c r="C1737" s="77">
        <v>134314</v>
      </c>
    </row>
    <row r="1738" spans="1:3" x14ac:dyDescent="0.25">
      <c r="A1738" s="6">
        <v>2907182</v>
      </c>
      <c r="B1738" s="6" t="s">
        <v>1919</v>
      </c>
      <c r="C1738" s="77">
        <v>144608</v>
      </c>
    </row>
    <row r="1739" spans="1:3" x14ac:dyDescent="0.25">
      <c r="A1739" s="6">
        <v>2907183</v>
      </c>
      <c r="B1739" s="6" t="s">
        <v>1920</v>
      </c>
      <c r="C1739" s="77">
        <v>266261</v>
      </c>
    </row>
    <row r="1740" spans="1:3" x14ac:dyDescent="0.25">
      <c r="A1740" s="6">
        <v>2907224</v>
      </c>
      <c r="B1740" s="6" t="s">
        <v>1921</v>
      </c>
      <c r="C1740" s="77">
        <v>3368664</v>
      </c>
    </row>
    <row r="1741" spans="1:3" x14ac:dyDescent="0.25">
      <c r="A1741" s="6">
        <v>2907225</v>
      </c>
      <c r="B1741" s="6" t="s">
        <v>1922</v>
      </c>
      <c r="C1741" s="77">
        <v>4370427</v>
      </c>
    </row>
    <row r="1742" spans="1:3" x14ac:dyDescent="0.25">
      <c r="A1742" s="6">
        <v>2907229</v>
      </c>
      <c r="B1742" s="6" t="s">
        <v>1923</v>
      </c>
      <c r="C1742" s="77">
        <v>21795</v>
      </c>
    </row>
    <row r="1743" spans="1:3" x14ac:dyDescent="0.25">
      <c r="A1743" s="6">
        <v>2907230</v>
      </c>
      <c r="B1743" s="6" t="s">
        <v>1924</v>
      </c>
      <c r="C1743" s="77">
        <v>25289</v>
      </c>
    </row>
    <row r="1744" spans="1:3" x14ac:dyDescent="0.25">
      <c r="A1744" s="6">
        <v>2907231</v>
      </c>
      <c r="B1744" s="6" t="s">
        <v>1925</v>
      </c>
      <c r="C1744" s="77">
        <v>76288</v>
      </c>
    </row>
    <row r="1745" spans="1:3" x14ac:dyDescent="0.25">
      <c r="A1745" s="6">
        <v>2907232</v>
      </c>
      <c r="B1745" s="6" t="s">
        <v>1926</v>
      </c>
      <c r="C1745" s="77">
        <v>111419</v>
      </c>
    </row>
    <row r="1746" spans="1:3" x14ac:dyDescent="0.25">
      <c r="A1746" s="6">
        <v>2907233</v>
      </c>
      <c r="B1746" s="6" t="s">
        <v>1927</v>
      </c>
      <c r="C1746" s="77">
        <v>182310</v>
      </c>
    </row>
    <row r="1747" spans="1:3" x14ac:dyDescent="0.25">
      <c r="A1747" s="6">
        <v>2907234</v>
      </c>
      <c r="B1747" s="6" t="s">
        <v>1928</v>
      </c>
      <c r="C1747" s="77">
        <v>219132</v>
      </c>
    </row>
    <row r="1748" spans="1:3" x14ac:dyDescent="0.25">
      <c r="A1748" s="6">
        <v>2907235</v>
      </c>
      <c r="B1748" s="6" t="s">
        <v>1929</v>
      </c>
      <c r="C1748" s="77">
        <v>17883</v>
      </c>
    </row>
    <row r="1749" spans="1:3" x14ac:dyDescent="0.25">
      <c r="A1749" s="6">
        <v>2907236</v>
      </c>
      <c r="B1749" s="6" t="s">
        <v>1930</v>
      </c>
      <c r="C1749" s="77">
        <v>32062</v>
      </c>
    </row>
    <row r="1750" spans="1:3" x14ac:dyDescent="0.25">
      <c r="A1750" s="6">
        <v>2907237</v>
      </c>
      <c r="B1750" s="6" t="s">
        <v>1931</v>
      </c>
      <c r="C1750" s="77">
        <v>55551</v>
      </c>
    </row>
    <row r="1751" spans="1:3" x14ac:dyDescent="0.25">
      <c r="A1751" s="6">
        <v>2907238</v>
      </c>
      <c r="B1751" s="6" t="s">
        <v>1932</v>
      </c>
      <c r="C1751" s="77">
        <v>153213</v>
      </c>
    </row>
    <row r="1752" spans="1:3" x14ac:dyDescent="0.25">
      <c r="A1752" s="6">
        <v>2907239</v>
      </c>
      <c r="B1752" s="6" t="s">
        <v>1933</v>
      </c>
      <c r="C1752" s="77">
        <v>202309</v>
      </c>
    </row>
    <row r="1753" spans="1:3" x14ac:dyDescent="0.25">
      <c r="A1753" s="6">
        <v>2907240</v>
      </c>
      <c r="B1753" s="6" t="s">
        <v>1934</v>
      </c>
      <c r="C1753" s="77">
        <v>317537</v>
      </c>
    </row>
    <row r="1754" spans="1:3" x14ac:dyDescent="0.25">
      <c r="A1754" s="6">
        <v>2907299</v>
      </c>
      <c r="B1754" s="6" t="s">
        <v>1935</v>
      </c>
      <c r="C1754" s="77">
        <v>4736609</v>
      </c>
    </row>
    <row r="1755" spans="1:3" x14ac:dyDescent="0.25">
      <c r="A1755" s="6">
        <v>2907351</v>
      </c>
      <c r="B1755" s="6" t="s">
        <v>1936</v>
      </c>
      <c r="C1755" s="77">
        <v>172200</v>
      </c>
    </row>
    <row r="1756" spans="1:3" x14ac:dyDescent="0.25">
      <c r="A1756" s="6">
        <v>2907380</v>
      </c>
      <c r="B1756" s="6" t="s">
        <v>1937</v>
      </c>
      <c r="C1756" s="77">
        <v>471</v>
      </c>
    </row>
    <row r="1757" spans="1:3" x14ac:dyDescent="0.25">
      <c r="A1757" s="6">
        <v>2907381</v>
      </c>
      <c r="B1757" s="6" t="s">
        <v>1938</v>
      </c>
      <c r="C1757" s="77">
        <v>626</v>
      </c>
    </row>
    <row r="1758" spans="1:3" x14ac:dyDescent="0.25">
      <c r="A1758" s="6">
        <v>2907382</v>
      </c>
      <c r="B1758" s="6" t="s">
        <v>1939</v>
      </c>
      <c r="C1758" s="77">
        <v>1175</v>
      </c>
    </row>
    <row r="1759" spans="1:3" x14ac:dyDescent="0.25">
      <c r="A1759" s="6">
        <v>2907383</v>
      </c>
      <c r="B1759" s="6" t="s">
        <v>1940</v>
      </c>
      <c r="C1759" s="77">
        <v>2835</v>
      </c>
    </row>
    <row r="1760" spans="1:3" x14ac:dyDescent="0.25">
      <c r="A1760" s="6">
        <v>2907384</v>
      </c>
      <c r="B1760" s="6" t="s">
        <v>1941</v>
      </c>
      <c r="C1760" s="77">
        <v>3321</v>
      </c>
    </row>
    <row r="1761" spans="1:3" x14ac:dyDescent="0.25">
      <c r="A1761" s="6">
        <v>2907385</v>
      </c>
      <c r="B1761" s="6" t="s">
        <v>1942</v>
      </c>
      <c r="C1761" s="77">
        <v>4815</v>
      </c>
    </row>
    <row r="1762" spans="1:3" x14ac:dyDescent="0.25">
      <c r="A1762" s="6">
        <v>2907386</v>
      </c>
      <c r="B1762" s="6" t="s">
        <v>1943</v>
      </c>
      <c r="C1762" s="77">
        <v>471</v>
      </c>
    </row>
    <row r="1763" spans="1:3" x14ac:dyDescent="0.25">
      <c r="A1763" s="6">
        <v>2907387</v>
      </c>
      <c r="B1763" s="6" t="s">
        <v>1944</v>
      </c>
      <c r="C1763" s="77">
        <v>2137</v>
      </c>
    </row>
    <row r="1764" spans="1:3" x14ac:dyDescent="0.25">
      <c r="A1764" s="6">
        <v>2907388</v>
      </c>
      <c r="B1764" s="6" t="s">
        <v>1945</v>
      </c>
      <c r="C1764" s="77">
        <v>1221</v>
      </c>
    </row>
    <row r="1765" spans="1:3" x14ac:dyDescent="0.25">
      <c r="A1765" s="6">
        <v>2907389</v>
      </c>
      <c r="B1765" s="6" t="s">
        <v>1946</v>
      </c>
      <c r="C1765" s="77">
        <v>1221</v>
      </c>
    </row>
    <row r="1766" spans="1:3" x14ac:dyDescent="0.25">
      <c r="A1766" s="6">
        <v>2907390</v>
      </c>
      <c r="B1766" s="6" t="s">
        <v>1947</v>
      </c>
      <c r="C1766" s="77">
        <v>1952</v>
      </c>
    </row>
    <row r="1767" spans="1:3" x14ac:dyDescent="0.25">
      <c r="A1767" s="6">
        <v>2907391</v>
      </c>
      <c r="B1767" s="6" t="s">
        <v>1948</v>
      </c>
      <c r="C1767" s="77">
        <v>3699</v>
      </c>
    </row>
    <row r="1768" spans="1:3" x14ac:dyDescent="0.25">
      <c r="A1768" s="6">
        <v>2907392</v>
      </c>
      <c r="B1768" s="6" t="s">
        <v>1949</v>
      </c>
      <c r="C1768" s="77">
        <v>6508</v>
      </c>
    </row>
    <row r="1769" spans="1:3" x14ac:dyDescent="0.25">
      <c r="A1769" s="6">
        <v>2907393</v>
      </c>
      <c r="B1769" s="6" t="s">
        <v>1950</v>
      </c>
      <c r="C1769" s="77">
        <v>9423</v>
      </c>
    </row>
    <row r="1770" spans="1:3" x14ac:dyDescent="0.25">
      <c r="A1770" s="6">
        <v>2907394</v>
      </c>
      <c r="B1770" s="6" t="s">
        <v>1951</v>
      </c>
      <c r="C1770" s="77">
        <v>17401</v>
      </c>
    </row>
    <row r="1771" spans="1:3" x14ac:dyDescent="0.25">
      <c r="A1771" s="6">
        <v>2907395</v>
      </c>
      <c r="B1771" s="6" t="s">
        <v>1952</v>
      </c>
      <c r="C1771" s="77">
        <v>1207</v>
      </c>
    </row>
    <row r="1772" spans="1:3" x14ac:dyDescent="0.25">
      <c r="A1772" s="6">
        <v>2907396</v>
      </c>
      <c r="B1772" s="6" t="s">
        <v>1953</v>
      </c>
      <c r="C1772" s="77">
        <v>1352</v>
      </c>
    </row>
    <row r="1773" spans="1:3" x14ac:dyDescent="0.25">
      <c r="A1773" s="6">
        <v>2907397</v>
      </c>
      <c r="B1773" s="6" t="s">
        <v>1954</v>
      </c>
      <c r="C1773" s="77">
        <v>330</v>
      </c>
    </row>
    <row r="1774" spans="1:3" x14ac:dyDescent="0.25">
      <c r="A1774" s="6">
        <v>2907398</v>
      </c>
      <c r="B1774" s="6" t="s">
        <v>1955</v>
      </c>
      <c r="C1774" s="77">
        <v>689</v>
      </c>
    </row>
    <row r="1775" spans="1:3" x14ac:dyDescent="0.25">
      <c r="A1775" s="6">
        <v>2907399</v>
      </c>
      <c r="B1775" s="6" t="s">
        <v>1956</v>
      </c>
      <c r="C1775" s="77">
        <v>1120</v>
      </c>
    </row>
    <row r="1776" spans="1:3" x14ac:dyDescent="0.25">
      <c r="A1776" s="6">
        <v>2907401</v>
      </c>
      <c r="B1776" s="6" t="s">
        <v>1957</v>
      </c>
      <c r="C1776" s="77">
        <v>3194</v>
      </c>
    </row>
    <row r="1777" spans="1:3" x14ac:dyDescent="0.25">
      <c r="A1777" s="6">
        <v>2907402</v>
      </c>
      <c r="B1777" s="6" t="s">
        <v>1958</v>
      </c>
      <c r="C1777" s="77">
        <v>2890</v>
      </c>
    </row>
    <row r="1778" spans="1:3" x14ac:dyDescent="0.25">
      <c r="A1778" s="6">
        <v>2907413</v>
      </c>
      <c r="B1778" s="6" t="s">
        <v>1959</v>
      </c>
      <c r="C1778" s="77">
        <v>233672</v>
      </c>
    </row>
    <row r="1779" spans="1:3" x14ac:dyDescent="0.25">
      <c r="A1779" s="6">
        <v>2907414</v>
      </c>
      <c r="B1779" s="6" t="s">
        <v>1960</v>
      </c>
      <c r="C1779" s="77">
        <v>257034</v>
      </c>
    </row>
    <row r="1780" spans="1:3" x14ac:dyDescent="0.25">
      <c r="A1780" s="6">
        <v>2907415</v>
      </c>
      <c r="B1780" s="6" t="s">
        <v>1961</v>
      </c>
      <c r="C1780" s="77">
        <v>317036</v>
      </c>
    </row>
    <row r="1781" spans="1:3" x14ac:dyDescent="0.25">
      <c r="A1781" s="6">
        <v>2907416</v>
      </c>
      <c r="B1781" s="6" t="s">
        <v>1962</v>
      </c>
      <c r="C1781" s="77">
        <v>441199</v>
      </c>
    </row>
    <row r="1782" spans="1:3" x14ac:dyDescent="0.25">
      <c r="A1782" s="6">
        <v>2907417</v>
      </c>
      <c r="B1782" s="6" t="s">
        <v>1963</v>
      </c>
      <c r="C1782" s="77">
        <v>494686</v>
      </c>
    </row>
    <row r="1783" spans="1:3" x14ac:dyDescent="0.25">
      <c r="A1783" s="6">
        <v>2907418</v>
      </c>
      <c r="B1783" s="6" t="s">
        <v>1964</v>
      </c>
      <c r="C1783" s="77">
        <v>757066</v>
      </c>
    </row>
    <row r="1784" spans="1:3" x14ac:dyDescent="0.25">
      <c r="A1784" s="6">
        <v>2907419</v>
      </c>
      <c r="B1784" s="6" t="s">
        <v>1965</v>
      </c>
      <c r="C1784" s="77">
        <v>16499</v>
      </c>
    </row>
    <row r="1785" spans="1:3" x14ac:dyDescent="0.25">
      <c r="A1785" s="6">
        <v>2907420</v>
      </c>
      <c r="B1785" s="6" t="s">
        <v>1966</v>
      </c>
      <c r="C1785" s="77">
        <v>18231</v>
      </c>
    </row>
    <row r="1786" spans="1:3" x14ac:dyDescent="0.25">
      <c r="A1786" s="6">
        <v>2907421</v>
      </c>
      <c r="B1786" s="6" t="s">
        <v>1967</v>
      </c>
      <c r="C1786" s="77">
        <v>36139</v>
      </c>
    </row>
    <row r="1787" spans="1:3" x14ac:dyDescent="0.25">
      <c r="A1787" s="6">
        <v>2907422</v>
      </c>
      <c r="B1787" s="6" t="s">
        <v>1968</v>
      </c>
      <c r="C1787" s="77">
        <v>46165</v>
      </c>
    </row>
    <row r="1788" spans="1:3" x14ac:dyDescent="0.25">
      <c r="A1788" s="6">
        <v>2907423</v>
      </c>
      <c r="B1788" s="6" t="s">
        <v>1969</v>
      </c>
      <c r="C1788" s="77">
        <v>53731</v>
      </c>
    </row>
    <row r="1789" spans="1:3" x14ac:dyDescent="0.25">
      <c r="A1789" s="6">
        <v>2907424</v>
      </c>
      <c r="B1789" s="6" t="s">
        <v>1970</v>
      </c>
      <c r="C1789" s="77">
        <v>82778</v>
      </c>
    </row>
    <row r="1790" spans="1:3" x14ac:dyDescent="0.25">
      <c r="A1790" s="6">
        <v>2907425</v>
      </c>
      <c r="B1790" s="6" t="s">
        <v>1971</v>
      </c>
      <c r="C1790" s="77">
        <v>177579</v>
      </c>
    </row>
    <row r="1791" spans="1:3" x14ac:dyDescent="0.25">
      <c r="A1791" s="6">
        <v>2907426</v>
      </c>
      <c r="B1791" s="6" t="s">
        <v>1972</v>
      </c>
      <c r="C1791" s="77">
        <v>363570</v>
      </c>
    </row>
    <row r="1792" spans="1:3" x14ac:dyDescent="0.25">
      <c r="A1792" s="6">
        <v>2907427</v>
      </c>
      <c r="B1792" s="6" t="s">
        <v>1973</v>
      </c>
      <c r="C1792" s="77">
        <v>653207</v>
      </c>
    </row>
    <row r="1793" spans="1:3" x14ac:dyDescent="0.25">
      <c r="A1793" s="6">
        <v>2907428</v>
      </c>
      <c r="B1793" s="6" t="s">
        <v>1974</v>
      </c>
      <c r="C1793" s="77">
        <v>17999</v>
      </c>
    </row>
    <row r="1794" spans="1:3" x14ac:dyDescent="0.25">
      <c r="A1794" s="6">
        <v>2907429</v>
      </c>
      <c r="B1794" s="6" t="s">
        <v>1975</v>
      </c>
      <c r="C1794" s="77">
        <v>27097</v>
      </c>
    </row>
    <row r="1795" spans="1:3" x14ac:dyDescent="0.25">
      <c r="A1795" s="6">
        <v>2907430</v>
      </c>
      <c r="B1795" s="6" t="s">
        <v>1976</v>
      </c>
      <c r="C1795" s="77">
        <v>69183</v>
      </c>
    </row>
    <row r="1796" spans="1:3" x14ac:dyDescent="0.25">
      <c r="A1796" s="6">
        <v>2907431</v>
      </c>
      <c r="B1796" s="6" t="s">
        <v>1977</v>
      </c>
      <c r="C1796" s="77">
        <v>224190</v>
      </c>
    </row>
    <row r="1797" spans="1:3" x14ac:dyDescent="0.25">
      <c r="A1797" s="6">
        <v>2907432</v>
      </c>
      <c r="B1797" s="6" t="s">
        <v>1978</v>
      </c>
      <c r="C1797" s="77">
        <v>301484</v>
      </c>
    </row>
    <row r="1798" spans="1:3" x14ac:dyDescent="0.25">
      <c r="A1798" s="6">
        <v>2907433</v>
      </c>
      <c r="B1798" s="6" t="s">
        <v>1979</v>
      </c>
      <c r="C1798" s="77">
        <v>506706</v>
      </c>
    </row>
    <row r="1799" spans="1:3" x14ac:dyDescent="0.25">
      <c r="A1799" s="6">
        <v>2907434</v>
      </c>
      <c r="B1799" s="6" t="s">
        <v>1980</v>
      </c>
      <c r="C1799" s="77">
        <v>84467</v>
      </c>
    </row>
    <row r="1800" spans="1:3" x14ac:dyDescent="0.25">
      <c r="A1800" s="6">
        <v>2907435</v>
      </c>
      <c r="B1800" s="6" t="s">
        <v>1981</v>
      </c>
      <c r="C1800" s="77">
        <v>102098</v>
      </c>
    </row>
    <row r="1801" spans="1:3" x14ac:dyDescent="0.25">
      <c r="A1801" s="6">
        <v>2907436</v>
      </c>
      <c r="B1801" s="6" t="s">
        <v>1982</v>
      </c>
      <c r="C1801" s="77">
        <v>211724</v>
      </c>
    </row>
    <row r="1802" spans="1:3" x14ac:dyDescent="0.25">
      <c r="A1802" s="6">
        <v>2907437</v>
      </c>
      <c r="B1802" s="6" t="s">
        <v>1983</v>
      </c>
      <c r="C1802" s="77">
        <v>241264</v>
      </c>
    </row>
    <row r="1803" spans="1:3" x14ac:dyDescent="0.25">
      <c r="A1803" s="6">
        <v>2907438</v>
      </c>
      <c r="B1803" s="6" t="s">
        <v>1984</v>
      </c>
      <c r="C1803" s="77">
        <v>270805</v>
      </c>
    </row>
    <row r="1804" spans="1:3" x14ac:dyDescent="0.25">
      <c r="A1804" s="6">
        <v>2907439</v>
      </c>
      <c r="B1804" s="6" t="s">
        <v>1985</v>
      </c>
      <c r="C1804" s="77">
        <v>461097</v>
      </c>
    </row>
    <row r="1805" spans="1:3" x14ac:dyDescent="0.25">
      <c r="A1805" s="6">
        <v>2907440</v>
      </c>
      <c r="B1805" s="6" t="s">
        <v>1986</v>
      </c>
      <c r="C1805" s="77">
        <v>12675</v>
      </c>
    </row>
    <row r="1806" spans="1:3" x14ac:dyDescent="0.25">
      <c r="A1806" s="6">
        <v>2907441</v>
      </c>
      <c r="B1806" s="6" t="s">
        <v>1987</v>
      </c>
      <c r="C1806" s="77">
        <v>29292</v>
      </c>
    </row>
    <row r="1807" spans="1:3" x14ac:dyDescent="0.25">
      <c r="A1807" s="6">
        <v>2907442</v>
      </c>
      <c r="B1807" s="6" t="s">
        <v>1988</v>
      </c>
      <c r="C1807" s="77">
        <v>54163</v>
      </c>
    </row>
    <row r="1808" spans="1:3" x14ac:dyDescent="0.25">
      <c r="A1808" s="6">
        <v>2907443</v>
      </c>
      <c r="B1808" s="6" t="s">
        <v>1989</v>
      </c>
      <c r="C1808" s="77">
        <v>54161</v>
      </c>
    </row>
    <row r="1809" spans="1:3" x14ac:dyDescent="0.25">
      <c r="A1809" s="6">
        <v>2907444</v>
      </c>
      <c r="B1809" s="6" t="s">
        <v>1990</v>
      </c>
      <c r="C1809" s="77">
        <v>54161</v>
      </c>
    </row>
    <row r="1810" spans="1:3" x14ac:dyDescent="0.25">
      <c r="A1810" s="6">
        <v>2907445</v>
      </c>
      <c r="B1810" s="6" t="s">
        <v>1991</v>
      </c>
      <c r="C1810" s="77">
        <v>61218</v>
      </c>
    </row>
    <row r="1811" spans="1:3" x14ac:dyDescent="0.25">
      <c r="A1811" s="6">
        <v>2907446</v>
      </c>
      <c r="B1811" s="6" t="s">
        <v>1992</v>
      </c>
      <c r="C1811" s="77">
        <v>61218</v>
      </c>
    </row>
    <row r="1812" spans="1:3" x14ac:dyDescent="0.25">
      <c r="A1812" s="6">
        <v>2907447</v>
      </c>
      <c r="B1812" s="6" t="s">
        <v>1993</v>
      </c>
      <c r="C1812" s="77">
        <v>53178</v>
      </c>
    </row>
    <row r="1813" spans="1:3" x14ac:dyDescent="0.25">
      <c r="A1813" s="6">
        <v>2907448</v>
      </c>
      <c r="B1813" s="6" t="s">
        <v>1994</v>
      </c>
      <c r="C1813" s="77">
        <v>53178</v>
      </c>
    </row>
    <row r="1814" spans="1:3" x14ac:dyDescent="0.25">
      <c r="A1814" s="6">
        <v>2907449</v>
      </c>
      <c r="B1814" s="6" t="s">
        <v>1995</v>
      </c>
      <c r="C1814" s="77">
        <v>79107</v>
      </c>
    </row>
    <row r="1815" spans="1:3" x14ac:dyDescent="0.25">
      <c r="A1815" s="6">
        <v>2907450</v>
      </c>
      <c r="B1815" s="6" t="s">
        <v>1996</v>
      </c>
      <c r="C1815" s="77">
        <v>79107</v>
      </c>
    </row>
    <row r="1816" spans="1:3" x14ac:dyDescent="0.25">
      <c r="A1816" s="6">
        <v>2907451</v>
      </c>
      <c r="B1816" s="6" t="s">
        <v>1997</v>
      </c>
      <c r="C1816" s="77">
        <v>79107</v>
      </c>
    </row>
    <row r="1817" spans="1:3" x14ac:dyDescent="0.25">
      <c r="A1817" s="6">
        <v>2907452</v>
      </c>
      <c r="B1817" s="6" t="s">
        <v>1998</v>
      </c>
      <c r="C1817" s="77">
        <v>84186</v>
      </c>
    </row>
    <row r="1818" spans="1:3" x14ac:dyDescent="0.25">
      <c r="A1818" s="6">
        <v>2907453</v>
      </c>
      <c r="B1818" s="6" t="s">
        <v>1999</v>
      </c>
      <c r="C1818" s="77">
        <v>79759</v>
      </c>
    </row>
    <row r="1819" spans="1:3" x14ac:dyDescent="0.25">
      <c r="A1819" s="6">
        <v>2907455</v>
      </c>
      <c r="B1819" s="6" t="s">
        <v>2000</v>
      </c>
      <c r="C1819" s="77">
        <v>258263</v>
      </c>
    </row>
    <row r="1820" spans="1:3" x14ac:dyDescent="0.25">
      <c r="A1820" s="6">
        <v>2907456</v>
      </c>
      <c r="B1820" s="6" t="s">
        <v>2001</v>
      </c>
      <c r="C1820" s="77">
        <v>13222</v>
      </c>
    </row>
    <row r="1821" spans="1:3" x14ac:dyDescent="0.25">
      <c r="A1821" s="6">
        <v>2907457</v>
      </c>
      <c r="B1821" s="6" t="s">
        <v>2002</v>
      </c>
      <c r="C1821" s="77">
        <v>19108</v>
      </c>
    </row>
    <row r="1822" spans="1:3" x14ac:dyDescent="0.25">
      <c r="A1822" s="6">
        <v>2907458</v>
      </c>
      <c r="B1822" s="6" t="s">
        <v>2003</v>
      </c>
      <c r="C1822" s="77">
        <v>30399</v>
      </c>
    </row>
    <row r="1823" spans="1:3" x14ac:dyDescent="0.25">
      <c r="A1823" s="6">
        <v>2907459</v>
      </c>
      <c r="B1823" s="6" t="s">
        <v>2004</v>
      </c>
      <c r="C1823" s="77">
        <v>59632</v>
      </c>
    </row>
    <row r="1824" spans="1:3" x14ac:dyDescent="0.25">
      <c r="A1824" s="6">
        <v>2907460</v>
      </c>
      <c r="B1824" s="6" t="s">
        <v>2005</v>
      </c>
      <c r="C1824" s="77">
        <v>61176</v>
      </c>
    </row>
    <row r="1825" spans="1:3" x14ac:dyDescent="0.25">
      <c r="A1825" s="6">
        <v>2907461</v>
      </c>
      <c r="B1825" s="6" t="s">
        <v>2006</v>
      </c>
      <c r="C1825" s="77">
        <v>68670</v>
      </c>
    </row>
    <row r="1826" spans="1:3" x14ac:dyDescent="0.25">
      <c r="A1826" s="6">
        <v>2907462</v>
      </c>
      <c r="B1826" s="6" t="s">
        <v>2007</v>
      </c>
      <c r="C1826" s="77">
        <v>140348</v>
      </c>
    </row>
    <row r="1827" spans="1:3" x14ac:dyDescent="0.25">
      <c r="A1827" s="6">
        <v>2907463</v>
      </c>
      <c r="B1827" s="6" t="s">
        <v>2008</v>
      </c>
      <c r="C1827" s="77">
        <v>678680</v>
      </c>
    </row>
    <row r="1828" spans="1:3" x14ac:dyDescent="0.25">
      <c r="A1828" s="6">
        <v>2907464</v>
      </c>
      <c r="B1828" s="6" t="s">
        <v>2009</v>
      </c>
      <c r="C1828" s="77">
        <v>11159</v>
      </c>
    </row>
    <row r="1829" spans="1:3" x14ac:dyDescent="0.25">
      <c r="A1829" s="6">
        <v>2907465</v>
      </c>
      <c r="B1829" s="6" t="s">
        <v>2010</v>
      </c>
      <c r="C1829" s="77">
        <v>12932</v>
      </c>
    </row>
    <row r="1830" spans="1:3" x14ac:dyDescent="0.25">
      <c r="A1830" s="6">
        <v>2907466</v>
      </c>
      <c r="B1830" s="6" t="s">
        <v>2011</v>
      </c>
      <c r="C1830" s="77">
        <v>22088</v>
      </c>
    </row>
    <row r="1831" spans="1:3" x14ac:dyDescent="0.25">
      <c r="A1831" s="6">
        <v>2907467</v>
      </c>
      <c r="B1831" s="6" t="s">
        <v>2012</v>
      </c>
      <c r="C1831" s="77">
        <v>42361</v>
      </c>
    </row>
    <row r="1832" spans="1:3" x14ac:dyDescent="0.25">
      <c r="A1832" s="6">
        <v>2907468</v>
      </c>
      <c r="B1832" s="6" t="s">
        <v>2013</v>
      </c>
      <c r="C1832" s="77">
        <v>53346</v>
      </c>
    </row>
    <row r="1833" spans="1:3" x14ac:dyDescent="0.25">
      <c r="A1833" s="6">
        <v>2907469</v>
      </c>
      <c r="B1833" s="6" t="s">
        <v>2014</v>
      </c>
      <c r="C1833" s="77">
        <v>88636</v>
      </c>
    </row>
    <row r="1834" spans="1:3" x14ac:dyDescent="0.25">
      <c r="A1834" s="6">
        <v>2907470</v>
      </c>
      <c r="B1834" s="6" t="s">
        <v>2015</v>
      </c>
      <c r="C1834" s="77">
        <v>513238</v>
      </c>
    </row>
    <row r="1835" spans="1:3" x14ac:dyDescent="0.25">
      <c r="A1835" s="6">
        <v>2907471</v>
      </c>
      <c r="B1835" s="6" t="s">
        <v>2016</v>
      </c>
      <c r="C1835" s="77">
        <v>19140</v>
      </c>
    </row>
    <row r="1836" spans="1:3" x14ac:dyDescent="0.25">
      <c r="A1836" s="6">
        <v>2907472</v>
      </c>
      <c r="B1836" s="6" t="s">
        <v>2017</v>
      </c>
      <c r="C1836" s="77">
        <v>27181</v>
      </c>
    </row>
    <row r="1837" spans="1:3" x14ac:dyDescent="0.25">
      <c r="A1837" s="6">
        <v>2907473</v>
      </c>
      <c r="B1837" s="6" t="s">
        <v>2018</v>
      </c>
      <c r="C1837" s="77">
        <v>48106</v>
      </c>
    </row>
    <row r="1838" spans="1:3" x14ac:dyDescent="0.25">
      <c r="A1838" s="6">
        <v>2907474</v>
      </c>
      <c r="B1838" s="6" t="s">
        <v>2019</v>
      </c>
      <c r="C1838" s="77">
        <v>52658</v>
      </c>
    </row>
    <row r="1839" spans="1:3" x14ac:dyDescent="0.25">
      <c r="A1839" s="6">
        <v>2907475</v>
      </c>
      <c r="B1839" s="6" t="s">
        <v>2020</v>
      </c>
      <c r="C1839" s="77">
        <v>52890</v>
      </c>
    </row>
    <row r="1840" spans="1:3" x14ac:dyDescent="0.25">
      <c r="A1840" s="6">
        <v>2907476</v>
      </c>
      <c r="B1840" s="6" t="s">
        <v>2021</v>
      </c>
      <c r="C1840" s="77">
        <v>55516</v>
      </c>
    </row>
    <row r="1841" spans="1:3" x14ac:dyDescent="0.25">
      <c r="A1841" s="6">
        <v>2907477</v>
      </c>
      <c r="B1841" s="6" t="s">
        <v>2022</v>
      </c>
      <c r="C1841" s="77">
        <v>513545</v>
      </c>
    </row>
    <row r="1842" spans="1:3" x14ac:dyDescent="0.25">
      <c r="A1842" s="6">
        <v>2907478</v>
      </c>
      <c r="B1842" s="6" t="s">
        <v>2023</v>
      </c>
      <c r="C1842" s="77">
        <v>25335</v>
      </c>
    </row>
    <row r="1843" spans="1:3" x14ac:dyDescent="0.25">
      <c r="A1843" s="6">
        <v>2907479</v>
      </c>
      <c r="B1843" s="6" t="s">
        <v>2024</v>
      </c>
      <c r="C1843" s="77">
        <v>25801</v>
      </c>
    </row>
    <row r="1844" spans="1:3" x14ac:dyDescent="0.25">
      <c r="A1844" s="6">
        <v>2907480</v>
      </c>
      <c r="B1844" s="6" t="s">
        <v>2025</v>
      </c>
      <c r="C1844" s="77">
        <v>31600</v>
      </c>
    </row>
    <row r="1845" spans="1:3" x14ac:dyDescent="0.25">
      <c r="A1845" s="6">
        <v>2907481</v>
      </c>
      <c r="B1845" s="6" t="s">
        <v>2026</v>
      </c>
      <c r="C1845" s="77">
        <v>67864</v>
      </c>
    </row>
    <row r="1846" spans="1:3" x14ac:dyDescent="0.25">
      <c r="A1846" s="6">
        <v>2907482</v>
      </c>
      <c r="B1846" s="6" t="s">
        <v>2027</v>
      </c>
      <c r="C1846" s="77">
        <v>82304</v>
      </c>
    </row>
    <row r="1847" spans="1:3" x14ac:dyDescent="0.25">
      <c r="A1847" s="6">
        <v>2907483</v>
      </c>
      <c r="B1847" s="6" t="s">
        <v>2028</v>
      </c>
      <c r="C1847" s="77">
        <v>91668</v>
      </c>
    </row>
    <row r="1848" spans="1:3" x14ac:dyDescent="0.25">
      <c r="A1848" s="6">
        <v>2907484</v>
      </c>
      <c r="B1848" s="6" t="s">
        <v>2029</v>
      </c>
      <c r="C1848" s="77">
        <v>599563</v>
      </c>
    </row>
    <row r="1849" spans="1:3" x14ac:dyDescent="0.25">
      <c r="A1849" s="6">
        <v>2907485</v>
      </c>
      <c r="B1849" s="6" t="s">
        <v>2030</v>
      </c>
      <c r="C1849" s="77">
        <v>11379</v>
      </c>
    </row>
    <row r="1850" spans="1:3" x14ac:dyDescent="0.25">
      <c r="A1850" s="6">
        <v>2907486</v>
      </c>
      <c r="B1850" s="6" t="s">
        <v>2031</v>
      </c>
      <c r="C1850" s="77">
        <v>15979</v>
      </c>
    </row>
    <row r="1851" spans="1:3" x14ac:dyDescent="0.25">
      <c r="A1851" s="6">
        <v>2907487</v>
      </c>
      <c r="B1851" s="6" t="s">
        <v>2032</v>
      </c>
      <c r="C1851" s="77">
        <v>21453</v>
      </c>
    </row>
    <row r="1852" spans="1:3" x14ac:dyDescent="0.25">
      <c r="A1852" s="6">
        <v>2907488</v>
      </c>
      <c r="B1852" s="6" t="s">
        <v>2033</v>
      </c>
      <c r="C1852" s="77">
        <v>30164</v>
      </c>
    </row>
    <row r="1853" spans="1:3" x14ac:dyDescent="0.25">
      <c r="A1853" s="6">
        <v>2907489</v>
      </c>
      <c r="B1853" s="6" t="s">
        <v>2034</v>
      </c>
      <c r="C1853" s="77">
        <v>40525</v>
      </c>
    </row>
    <row r="1854" spans="1:3" x14ac:dyDescent="0.25">
      <c r="A1854" s="6">
        <v>2907490</v>
      </c>
      <c r="B1854" s="6" t="s">
        <v>2035</v>
      </c>
      <c r="C1854" s="77">
        <v>69345</v>
      </c>
    </row>
    <row r="1855" spans="1:3" x14ac:dyDescent="0.25">
      <c r="A1855" s="6">
        <v>2907491</v>
      </c>
      <c r="B1855" s="6" t="s">
        <v>2036</v>
      </c>
      <c r="C1855" s="77">
        <v>354084</v>
      </c>
    </row>
    <row r="1856" spans="1:3" x14ac:dyDescent="0.25">
      <c r="A1856" s="6">
        <v>2907492</v>
      </c>
      <c r="B1856" s="6" t="s">
        <v>2037</v>
      </c>
      <c r="C1856" s="77">
        <v>50881</v>
      </c>
    </row>
    <row r="1857" spans="1:3" x14ac:dyDescent="0.25">
      <c r="A1857" s="6">
        <v>2907493</v>
      </c>
      <c r="B1857" s="6" t="s">
        <v>2038</v>
      </c>
      <c r="C1857" s="77">
        <v>52726</v>
      </c>
    </row>
    <row r="1858" spans="1:3" x14ac:dyDescent="0.25">
      <c r="A1858" s="6">
        <v>2907494</v>
      </c>
      <c r="B1858" s="6" t="s">
        <v>2039</v>
      </c>
      <c r="C1858" s="77">
        <v>63125</v>
      </c>
    </row>
    <row r="1859" spans="1:3" x14ac:dyDescent="0.25">
      <c r="A1859" s="6">
        <v>2907495</v>
      </c>
      <c r="B1859" s="6" t="s">
        <v>2040</v>
      </c>
      <c r="C1859" s="77">
        <v>127805</v>
      </c>
    </row>
    <row r="1860" spans="1:3" x14ac:dyDescent="0.25">
      <c r="A1860" s="6">
        <v>2907496</v>
      </c>
      <c r="B1860" s="6" t="s">
        <v>2041</v>
      </c>
      <c r="C1860" s="77">
        <v>130239</v>
      </c>
    </row>
    <row r="1861" spans="1:3" x14ac:dyDescent="0.25">
      <c r="A1861" s="6">
        <v>2907497</v>
      </c>
      <c r="B1861" s="6" t="s">
        <v>2042</v>
      </c>
      <c r="C1861" s="77">
        <v>287849</v>
      </c>
    </row>
    <row r="1862" spans="1:3" x14ac:dyDescent="0.25">
      <c r="A1862" s="6">
        <v>2907499</v>
      </c>
      <c r="B1862" s="6" t="s">
        <v>2043</v>
      </c>
      <c r="C1862" s="77">
        <v>4038136</v>
      </c>
    </row>
    <row r="1863" spans="1:3" x14ac:dyDescent="0.25">
      <c r="A1863" s="6">
        <v>2907500</v>
      </c>
      <c r="B1863" s="6" t="s">
        <v>2044</v>
      </c>
      <c r="C1863" s="77">
        <v>132944</v>
      </c>
    </row>
    <row r="1864" spans="1:3" x14ac:dyDescent="0.25">
      <c r="A1864" s="6">
        <v>2907501</v>
      </c>
      <c r="B1864" s="6" t="s">
        <v>2045</v>
      </c>
      <c r="C1864" s="77">
        <v>144864</v>
      </c>
    </row>
    <row r="1865" spans="1:3" x14ac:dyDescent="0.25">
      <c r="A1865" s="6">
        <v>2907502</v>
      </c>
      <c r="B1865" s="6" t="s">
        <v>2046</v>
      </c>
      <c r="C1865" s="77">
        <v>202251</v>
      </c>
    </row>
    <row r="1866" spans="1:3" x14ac:dyDescent="0.25">
      <c r="A1866" s="6">
        <v>2907503</v>
      </c>
      <c r="B1866" s="6" t="s">
        <v>2047</v>
      </c>
      <c r="C1866" s="77">
        <v>346427</v>
      </c>
    </row>
    <row r="1867" spans="1:3" x14ac:dyDescent="0.25">
      <c r="A1867" s="6">
        <v>2907504</v>
      </c>
      <c r="B1867" s="6" t="s">
        <v>2048</v>
      </c>
      <c r="C1867" s="77">
        <v>430148</v>
      </c>
    </row>
    <row r="1868" spans="1:3" x14ac:dyDescent="0.25">
      <c r="A1868" s="6">
        <v>2907505</v>
      </c>
      <c r="B1868" s="6" t="s">
        <v>2049</v>
      </c>
      <c r="C1868" s="77">
        <v>582497</v>
      </c>
    </row>
    <row r="1869" spans="1:3" x14ac:dyDescent="0.25">
      <c r="A1869" s="6">
        <v>2907506</v>
      </c>
      <c r="B1869" s="6" t="s">
        <v>2050</v>
      </c>
      <c r="C1869" s="77">
        <v>1107341</v>
      </c>
    </row>
    <row r="1870" spans="1:3" x14ac:dyDescent="0.25">
      <c r="A1870" s="6">
        <v>2907507</v>
      </c>
      <c r="B1870" s="6" t="s">
        <v>2051</v>
      </c>
      <c r="C1870" s="77">
        <v>1669218</v>
      </c>
    </row>
    <row r="1871" spans="1:3" x14ac:dyDescent="0.25">
      <c r="A1871" s="6">
        <v>2907508</v>
      </c>
      <c r="B1871" s="6" t="s">
        <v>2052</v>
      </c>
      <c r="C1871" s="77">
        <v>27594</v>
      </c>
    </row>
    <row r="1872" spans="1:3" x14ac:dyDescent="0.25">
      <c r="A1872" s="6">
        <v>2907509</v>
      </c>
      <c r="B1872" s="6" t="s">
        <v>2053</v>
      </c>
      <c r="C1872" s="77">
        <v>33842</v>
      </c>
    </row>
    <row r="1873" spans="1:3" x14ac:dyDescent="0.25">
      <c r="A1873" s="6">
        <v>2907510</v>
      </c>
      <c r="B1873" s="6" t="s">
        <v>2905</v>
      </c>
      <c r="C1873" s="77">
        <v>59001</v>
      </c>
    </row>
    <row r="1874" spans="1:3" x14ac:dyDescent="0.25">
      <c r="A1874" s="6">
        <v>2907511</v>
      </c>
      <c r="B1874" s="6" t="s">
        <v>2054</v>
      </c>
      <c r="C1874" s="77">
        <v>93216</v>
      </c>
    </row>
    <row r="1875" spans="1:3" x14ac:dyDescent="0.25">
      <c r="A1875" s="6">
        <v>2907512</v>
      </c>
      <c r="B1875" s="6" t="s">
        <v>2055</v>
      </c>
      <c r="C1875" s="77">
        <v>104171</v>
      </c>
    </row>
    <row r="1876" spans="1:3" x14ac:dyDescent="0.25">
      <c r="A1876" s="6">
        <v>2907513</v>
      </c>
      <c r="B1876" s="6" t="s">
        <v>2056</v>
      </c>
      <c r="C1876" s="77">
        <v>180381</v>
      </c>
    </row>
    <row r="1877" spans="1:3" x14ac:dyDescent="0.25">
      <c r="A1877" s="6">
        <v>2907514</v>
      </c>
      <c r="B1877" s="6" t="s">
        <v>2057</v>
      </c>
      <c r="C1877" s="77">
        <v>21694</v>
      </c>
    </row>
    <row r="1878" spans="1:3" x14ac:dyDescent="0.25">
      <c r="A1878" s="6">
        <v>2907515</v>
      </c>
      <c r="B1878" s="6" t="s">
        <v>2058</v>
      </c>
      <c r="C1878" s="77">
        <v>29087</v>
      </c>
    </row>
    <row r="1879" spans="1:3" x14ac:dyDescent="0.25">
      <c r="A1879" s="6">
        <v>2907516</v>
      </c>
      <c r="B1879" s="6" t="s">
        <v>2059</v>
      </c>
      <c r="C1879" s="77">
        <v>46039</v>
      </c>
    </row>
    <row r="1880" spans="1:3" x14ac:dyDescent="0.25">
      <c r="A1880" s="6">
        <v>2907517</v>
      </c>
      <c r="B1880" s="6" t="s">
        <v>2060</v>
      </c>
      <c r="C1880" s="77">
        <v>51209</v>
      </c>
    </row>
    <row r="1881" spans="1:3" x14ac:dyDescent="0.25">
      <c r="A1881" s="6">
        <v>2907518</v>
      </c>
      <c r="B1881" s="6" t="s">
        <v>2061</v>
      </c>
      <c r="C1881" s="77">
        <v>56838</v>
      </c>
    </row>
    <row r="1882" spans="1:3" x14ac:dyDescent="0.25">
      <c r="A1882" s="6">
        <v>2907519</v>
      </c>
      <c r="B1882" s="6" t="s">
        <v>2062</v>
      </c>
      <c r="C1882" s="77">
        <v>103360</v>
      </c>
    </row>
    <row r="1883" spans="1:3" x14ac:dyDescent="0.25">
      <c r="A1883" s="6">
        <v>2907520</v>
      </c>
      <c r="B1883" s="6" t="s">
        <v>2063</v>
      </c>
      <c r="C1883" s="77">
        <v>31447</v>
      </c>
    </row>
    <row r="1884" spans="1:3" x14ac:dyDescent="0.25">
      <c r="A1884" s="6">
        <v>2907521</v>
      </c>
      <c r="B1884" s="6" t="s">
        <v>2064</v>
      </c>
      <c r="C1884" s="77">
        <v>42812</v>
      </c>
    </row>
    <row r="1885" spans="1:3" x14ac:dyDescent="0.25">
      <c r="A1885" s="6">
        <v>2907522</v>
      </c>
      <c r="B1885" s="6" t="s">
        <v>2065</v>
      </c>
      <c r="C1885" s="77">
        <v>13287</v>
      </c>
    </row>
    <row r="1886" spans="1:3" x14ac:dyDescent="0.25">
      <c r="A1886" s="6">
        <v>2907523</v>
      </c>
      <c r="B1886" s="6" t="s">
        <v>2066</v>
      </c>
      <c r="C1886" s="77">
        <v>12757</v>
      </c>
    </row>
    <row r="1887" spans="1:3" x14ac:dyDescent="0.25">
      <c r="A1887" s="6">
        <v>2907524</v>
      </c>
      <c r="B1887" s="6" t="s">
        <v>2067</v>
      </c>
      <c r="C1887" s="77">
        <v>12757</v>
      </c>
    </row>
    <row r="1888" spans="1:3" x14ac:dyDescent="0.25">
      <c r="A1888" s="6">
        <v>2907525</v>
      </c>
      <c r="B1888" s="6" t="s">
        <v>2068</v>
      </c>
      <c r="C1888" s="77">
        <v>16384</v>
      </c>
    </row>
    <row r="1889" spans="1:3" x14ac:dyDescent="0.25">
      <c r="A1889" s="6">
        <v>2907526</v>
      </c>
      <c r="B1889" s="6" t="s">
        <v>2069</v>
      </c>
      <c r="C1889" s="77">
        <v>16384</v>
      </c>
    </row>
    <row r="1890" spans="1:3" x14ac:dyDescent="0.25">
      <c r="A1890" s="6">
        <v>2907527</v>
      </c>
      <c r="B1890" s="6" t="s">
        <v>2070</v>
      </c>
      <c r="C1890" s="77">
        <v>16083</v>
      </c>
    </row>
    <row r="1891" spans="1:3" x14ac:dyDescent="0.25">
      <c r="A1891" s="6">
        <v>2907528</v>
      </c>
      <c r="B1891" s="6" t="s">
        <v>2071</v>
      </c>
      <c r="C1891" s="77">
        <v>16386</v>
      </c>
    </row>
    <row r="1892" spans="1:3" x14ac:dyDescent="0.25">
      <c r="A1892" s="6">
        <v>2907529</v>
      </c>
      <c r="B1892" s="6" t="s">
        <v>2072</v>
      </c>
      <c r="C1892" s="77">
        <v>23863</v>
      </c>
    </row>
    <row r="1893" spans="1:3" x14ac:dyDescent="0.25">
      <c r="A1893" s="6">
        <v>2907530</v>
      </c>
      <c r="B1893" s="6" t="s">
        <v>2073</v>
      </c>
      <c r="C1893" s="77">
        <v>23358</v>
      </c>
    </row>
    <row r="1894" spans="1:3" x14ac:dyDescent="0.25">
      <c r="A1894" s="6">
        <v>2907531</v>
      </c>
      <c r="B1894" s="6" t="s">
        <v>2074</v>
      </c>
      <c r="C1894" s="77">
        <v>23823</v>
      </c>
    </row>
    <row r="1895" spans="1:3" x14ac:dyDescent="0.25">
      <c r="A1895" s="6">
        <v>2907532</v>
      </c>
      <c r="B1895" s="6" t="s">
        <v>2075</v>
      </c>
      <c r="C1895" s="77">
        <v>22339</v>
      </c>
    </row>
    <row r="1896" spans="1:3" x14ac:dyDescent="0.25">
      <c r="A1896" s="6">
        <v>2907533</v>
      </c>
      <c r="B1896" s="6" t="s">
        <v>2076</v>
      </c>
      <c r="C1896" s="77">
        <v>23508</v>
      </c>
    </row>
    <row r="1897" spans="1:3" x14ac:dyDescent="0.25">
      <c r="A1897" s="6">
        <v>2907534</v>
      </c>
      <c r="B1897" s="6" t="s">
        <v>2077</v>
      </c>
      <c r="C1897" s="77">
        <v>57744</v>
      </c>
    </row>
    <row r="1898" spans="1:3" x14ac:dyDescent="0.25">
      <c r="A1898" s="6">
        <v>2907535</v>
      </c>
      <c r="B1898" s="6" t="s">
        <v>2078</v>
      </c>
      <c r="C1898" s="77">
        <v>40393</v>
      </c>
    </row>
    <row r="1899" spans="1:3" x14ac:dyDescent="0.25">
      <c r="A1899" s="6">
        <v>2907536</v>
      </c>
      <c r="B1899" s="6" t="s">
        <v>2079</v>
      </c>
      <c r="C1899" s="77">
        <v>41364</v>
      </c>
    </row>
    <row r="1900" spans="1:3" x14ac:dyDescent="0.25">
      <c r="A1900" s="6">
        <v>2907537</v>
      </c>
      <c r="B1900" s="6" t="s">
        <v>2080</v>
      </c>
      <c r="C1900" s="77">
        <v>38786</v>
      </c>
    </row>
    <row r="1901" spans="1:3" x14ac:dyDescent="0.25">
      <c r="A1901" s="6">
        <v>2907538</v>
      </c>
      <c r="B1901" s="6" t="s">
        <v>2081</v>
      </c>
      <c r="C1901" s="77">
        <v>68487</v>
      </c>
    </row>
    <row r="1902" spans="1:3" x14ac:dyDescent="0.25">
      <c r="A1902" s="6">
        <v>2907539</v>
      </c>
      <c r="B1902" s="6" t="s">
        <v>2082</v>
      </c>
      <c r="C1902" s="77">
        <v>68487</v>
      </c>
    </row>
    <row r="1903" spans="1:3" x14ac:dyDescent="0.25">
      <c r="A1903" s="6">
        <v>2907540</v>
      </c>
      <c r="B1903" s="6" t="s">
        <v>2083</v>
      </c>
      <c r="C1903" s="77">
        <v>64341</v>
      </c>
    </row>
    <row r="1904" spans="1:3" x14ac:dyDescent="0.25">
      <c r="A1904" s="6">
        <v>2907541</v>
      </c>
      <c r="B1904" s="6" t="s">
        <v>2084</v>
      </c>
      <c r="C1904" s="77">
        <v>61541</v>
      </c>
    </row>
    <row r="1905" spans="1:3" x14ac:dyDescent="0.25">
      <c r="A1905" s="6">
        <v>2907542</v>
      </c>
      <c r="B1905" s="6" t="s">
        <v>2085</v>
      </c>
      <c r="C1905" s="77">
        <v>63159</v>
      </c>
    </row>
    <row r="1906" spans="1:3" x14ac:dyDescent="0.25">
      <c r="A1906" s="6">
        <v>2907543</v>
      </c>
      <c r="B1906" s="6" t="s">
        <v>2086</v>
      </c>
      <c r="C1906" s="77">
        <v>90888</v>
      </c>
    </row>
    <row r="1907" spans="1:3" x14ac:dyDescent="0.25">
      <c r="A1907" s="6">
        <v>2907544</v>
      </c>
      <c r="B1907" s="6" t="s">
        <v>2087</v>
      </c>
      <c r="C1907" s="77">
        <v>90888</v>
      </c>
    </row>
    <row r="1908" spans="1:3" x14ac:dyDescent="0.25">
      <c r="A1908" s="6">
        <v>2907545</v>
      </c>
      <c r="B1908" s="6" t="s">
        <v>2088</v>
      </c>
      <c r="C1908" s="77">
        <v>122999</v>
      </c>
    </row>
    <row r="1909" spans="1:3" x14ac:dyDescent="0.25">
      <c r="A1909" s="6">
        <v>2907546</v>
      </c>
      <c r="B1909" s="6" t="s">
        <v>2089</v>
      </c>
      <c r="C1909" s="77">
        <v>288256</v>
      </c>
    </row>
    <row r="1910" spans="1:3" x14ac:dyDescent="0.25">
      <c r="A1910" s="6">
        <v>2907547</v>
      </c>
      <c r="B1910" s="6" t="s">
        <v>2090</v>
      </c>
      <c r="C1910" s="77">
        <v>24747</v>
      </c>
    </row>
    <row r="1911" spans="1:3" x14ac:dyDescent="0.25">
      <c r="A1911" s="6">
        <v>2907548</v>
      </c>
      <c r="B1911" s="6" t="s">
        <v>2091</v>
      </c>
      <c r="C1911" s="77">
        <v>32516</v>
      </c>
    </row>
    <row r="1912" spans="1:3" x14ac:dyDescent="0.25">
      <c r="A1912" s="6">
        <v>2907549</v>
      </c>
      <c r="B1912" s="6" t="s">
        <v>2092</v>
      </c>
      <c r="C1912" s="77">
        <v>38666</v>
      </c>
    </row>
    <row r="1913" spans="1:3" x14ac:dyDescent="0.25">
      <c r="A1913" s="6">
        <v>2907550</v>
      </c>
      <c r="B1913" s="6" t="s">
        <v>2093</v>
      </c>
      <c r="C1913" s="77">
        <v>88504</v>
      </c>
    </row>
    <row r="1914" spans="1:3" x14ac:dyDescent="0.25">
      <c r="A1914" s="6">
        <v>2907551</v>
      </c>
      <c r="B1914" s="6" t="s">
        <v>2094</v>
      </c>
      <c r="C1914" s="77">
        <v>98877</v>
      </c>
    </row>
    <row r="1915" spans="1:3" x14ac:dyDescent="0.25">
      <c r="A1915" s="6">
        <v>2907552</v>
      </c>
      <c r="B1915" s="6" t="s">
        <v>2095</v>
      </c>
      <c r="C1915" s="77">
        <v>170183</v>
      </c>
    </row>
    <row r="1916" spans="1:3" x14ac:dyDescent="0.25">
      <c r="A1916" s="6">
        <v>2907553</v>
      </c>
      <c r="B1916" s="6" t="s">
        <v>2096</v>
      </c>
      <c r="C1916" s="77">
        <v>464664</v>
      </c>
    </row>
    <row r="1917" spans="1:3" x14ac:dyDescent="0.25">
      <c r="A1917" s="6">
        <v>2907554</v>
      </c>
      <c r="B1917" s="6" t="s">
        <v>2097</v>
      </c>
      <c r="C1917" s="77">
        <v>13302</v>
      </c>
    </row>
    <row r="1918" spans="1:3" x14ac:dyDescent="0.25">
      <c r="A1918" s="6">
        <v>2907555</v>
      </c>
      <c r="B1918" s="6" t="s">
        <v>2098</v>
      </c>
      <c r="C1918" s="77">
        <v>13303</v>
      </c>
    </row>
    <row r="1919" spans="1:3" x14ac:dyDescent="0.25">
      <c r="A1919" s="6">
        <v>2907556</v>
      </c>
      <c r="B1919" s="6" t="s">
        <v>2099</v>
      </c>
      <c r="C1919" s="77">
        <v>18104</v>
      </c>
    </row>
    <row r="1920" spans="1:3" x14ac:dyDescent="0.25">
      <c r="A1920" s="6">
        <v>2907557</v>
      </c>
      <c r="B1920" s="6" t="s">
        <v>2100</v>
      </c>
      <c r="C1920" s="77">
        <v>37627</v>
      </c>
    </row>
    <row r="1921" spans="1:3" x14ac:dyDescent="0.25">
      <c r="A1921" s="6">
        <v>2907558</v>
      </c>
      <c r="B1921" s="6" t="s">
        <v>2101</v>
      </c>
      <c r="C1921" s="77">
        <v>44527</v>
      </c>
    </row>
    <row r="1922" spans="1:3" x14ac:dyDescent="0.25">
      <c r="A1922" s="6">
        <v>2907559</v>
      </c>
      <c r="B1922" s="6" t="s">
        <v>2102</v>
      </c>
      <c r="C1922" s="77">
        <v>62673</v>
      </c>
    </row>
    <row r="1923" spans="1:3" x14ac:dyDescent="0.25">
      <c r="A1923" s="6">
        <v>2907560</v>
      </c>
      <c r="B1923" s="6" t="s">
        <v>2103</v>
      </c>
      <c r="C1923" s="77">
        <v>491533</v>
      </c>
    </row>
    <row r="1924" spans="1:3" x14ac:dyDescent="0.25">
      <c r="A1924" s="6">
        <v>2907561</v>
      </c>
      <c r="B1924" s="6" t="s">
        <v>2104</v>
      </c>
      <c r="C1924" s="77">
        <v>18368</v>
      </c>
    </row>
    <row r="1925" spans="1:3" x14ac:dyDescent="0.25">
      <c r="A1925" s="6">
        <v>2907562</v>
      </c>
      <c r="B1925" s="6" t="s">
        <v>2105</v>
      </c>
      <c r="C1925" s="77">
        <v>18784</v>
      </c>
    </row>
    <row r="1926" spans="1:3" x14ac:dyDescent="0.25">
      <c r="A1926" s="6">
        <v>2907563</v>
      </c>
      <c r="B1926" s="6" t="s">
        <v>2106</v>
      </c>
      <c r="C1926" s="77">
        <v>36283</v>
      </c>
    </row>
    <row r="1927" spans="1:3" x14ac:dyDescent="0.25">
      <c r="A1927" s="6">
        <v>2907564</v>
      </c>
      <c r="B1927" s="6" t="s">
        <v>2107</v>
      </c>
      <c r="C1927" s="77">
        <v>74045</v>
      </c>
    </row>
    <row r="1928" spans="1:3" x14ac:dyDescent="0.25">
      <c r="A1928" s="6">
        <v>2907565</v>
      </c>
      <c r="B1928" s="6" t="s">
        <v>2108</v>
      </c>
      <c r="C1928" s="77">
        <v>76081</v>
      </c>
    </row>
    <row r="1929" spans="1:3" x14ac:dyDescent="0.25">
      <c r="A1929" s="6">
        <v>2907566</v>
      </c>
      <c r="B1929" s="6" t="s">
        <v>2109</v>
      </c>
      <c r="C1929" s="77">
        <v>92763</v>
      </c>
    </row>
    <row r="1930" spans="1:3" x14ac:dyDescent="0.25">
      <c r="A1930" s="6">
        <v>2907567</v>
      </c>
      <c r="B1930" s="6" t="s">
        <v>2110</v>
      </c>
      <c r="C1930" s="77">
        <v>446522</v>
      </c>
    </row>
    <row r="1931" spans="1:3" x14ac:dyDescent="0.25">
      <c r="A1931" s="6">
        <v>2907568</v>
      </c>
      <c r="B1931" s="6" t="s">
        <v>2111</v>
      </c>
      <c r="C1931" s="77">
        <v>48203</v>
      </c>
    </row>
    <row r="1932" spans="1:3" x14ac:dyDescent="0.25">
      <c r="A1932" s="6">
        <v>2907569</v>
      </c>
      <c r="B1932" s="6" t="s">
        <v>2112</v>
      </c>
      <c r="C1932" s="77">
        <v>50619</v>
      </c>
    </row>
    <row r="1933" spans="1:3" x14ac:dyDescent="0.25">
      <c r="A1933" s="6">
        <v>2907570</v>
      </c>
      <c r="B1933" s="6" t="s">
        <v>2113</v>
      </c>
      <c r="C1933" s="77">
        <v>59493</v>
      </c>
    </row>
    <row r="1934" spans="1:3" x14ac:dyDescent="0.25">
      <c r="A1934" s="6">
        <v>2907571</v>
      </c>
      <c r="B1934" s="6" t="s">
        <v>2114</v>
      </c>
      <c r="C1934" s="77">
        <v>60654</v>
      </c>
    </row>
    <row r="1935" spans="1:3" x14ac:dyDescent="0.25">
      <c r="A1935" s="6">
        <v>2907572</v>
      </c>
      <c r="B1935" s="6" t="s">
        <v>2115</v>
      </c>
      <c r="C1935" s="77">
        <v>77803</v>
      </c>
    </row>
    <row r="1936" spans="1:3" x14ac:dyDescent="0.25">
      <c r="A1936" s="6">
        <v>2907573</v>
      </c>
      <c r="B1936" s="6" t="s">
        <v>2116</v>
      </c>
      <c r="C1936" s="77">
        <v>90148</v>
      </c>
    </row>
    <row r="1937" spans="1:3" x14ac:dyDescent="0.25">
      <c r="A1937" s="6">
        <v>2907574</v>
      </c>
      <c r="B1937" s="6" t="s">
        <v>2117</v>
      </c>
      <c r="C1937" s="77">
        <v>695569</v>
      </c>
    </row>
    <row r="1938" spans="1:3" x14ac:dyDescent="0.25">
      <c r="A1938" s="6">
        <v>2907575</v>
      </c>
      <c r="B1938" s="6" t="s">
        <v>2118</v>
      </c>
      <c r="C1938" s="77">
        <v>17868</v>
      </c>
    </row>
    <row r="1939" spans="1:3" x14ac:dyDescent="0.25">
      <c r="A1939" s="6">
        <v>2907576</v>
      </c>
      <c r="B1939" s="6" t="s">
        <v>2119</v>
      </c>
      <c r="C1939" s="77">
        <v>19367</v>
      </c>
    </row>
    <row r="1940" spans="1:3" x14ac:dyDescent="0.25">
      <c r="A1940" s="6">
        <v>2907577</v>
      </c>
      <c r="B1940" s="6" t="s">
        <v>2120</v>
      </c>
      <c r="C1940" s="77">
        <v>22229</v>
      </c>
    </row>
    <row r="1941" spans="1:3" x14ac:dyDescent="0.25">
      <c r="A1941" s="6">
        <v>2907578</v>
      </c>
      <c r="B1941" s="6" t="s">
        <v>2121</v>
      </c>
      <c r="C1941" s="77">
        <v>47992</v>
      </c>
    </row>
    <row r="1942" spans="1:3" x14ac:dyDescent="0.25">
      <c r="A1942" s="6">
        <v>2907579</v>
      </c>
      <c r="B1942" s="6" t="s">
        <v>2122</v>
      </c>
      <c r="C1942" s="77">
        <v>55103</v>
      </c>
    </row>
    <row r="1943" spans="1:3" x14ac:dyDescent="0.25">
      <c r="A1943" s="6">
        <v>2907580</v>
      </c>
      <c r="B1943" s="6" t="s">
        <v>2123</v>
      </c>
      <c r="C1943" s="77">
        <v>70820</v>
      </c>
    </row>
    <row r="1944" spans="1:3" x14ac:dyDescent="0.25">
      <c r="A1944" s="6">
        <v>2907581</v>
      </c>
      <c r="B1944" s="6" t="s">
        <v>2124</v>
      </c>
      <c r="C1944" s="77">
        <v>211400</v>
      </c>
    </row>
    <row r="1945" spans="1:3" x14ac:dyDescent="0.25">
      <c r="A1945" s="6">
        <v>2907582</v>
      </c>
      <c r="B1945" s="6" t="s">
        <v>2125</v>
      </c>
      <c r="C1945" s="77">
        <v>58737</v>
      </c>
    </row>
    <row r="1946" spans="1:3" x14ac:dyDescent="0.25">
      <c r="A1946" s="6">
        <v>2907583</v>
      </c>
      <c r="B1946" s="6" t="s">
        <v>2126</v>
      </c>
      <c r="C1946" s="77">
        <v>66461</v>
      </c>
    </row>
    <row r="1947" spans="1:3" x14ac:dyDescent="0.25">
      <c r="A1947" s="6">
        <v>2907584</v>
      </c>
      <c r="B1947" s="6" t="s">
        <v>2127</v>
      </c>
      <c r="C1947" s="77">
        <v>90168</v>
      </c>
    </row>
    <row r="1948" spans="1:3" x14ac:dyDescent="0.25">
      <c r="A1948" s="6">
        <v>2907715</v>
      </c>
      <c r="B1948" s="6" t="s">
        <v>2128</v>
      </c>
      <c r="C1948" s="77">
        <v>23639</v>
      </c>
    </row>
    <row r="1949" spans="1:3" x14ac:dyDescent="0.25">
      <c r="A1949" s="6">
        <v>2907716</v>
      </c>
      <c r="B1949" s="6" t="s">
        <v>2129</v>
      </c>
      <c r="C1949" s="77">
        <v>38202</v>
      </c>
    </row>
    <row r="1950" spans="1:3" x14ac:dyDescent="0.25">
      <c r="A1950" s="6">
        <v>2907717</v>
      </c>
      <c r="B1950" s="6" t="s">
        <v>2130</v>
      </c>
      <c r="C1950" s="77">
        <v>31996</v>
      </c>
    </row>
    <row r="1951" spans="1:3" x14ac:dyDescent="0.25">
      <c r="A1951" s="6">
        <v>2907718</v>
      </c>
      <c r="B1951" s="6" t="s">
        <v>2131</v>
      </c>
      <c r="C1951" s="77">
        <v>11996</v>
      </c>
    </row>
    <row r="1952" spans="1:3" x14ac:dyDescent="0.25">
      <c r="A1952" s="6">
        <v>2907719</v>
      </c>
      <c r="B1952" s="6" t="s">
        <v>2132</v>
      </c>
      <c r="C1952" s="77">
        <v>51329</v>
      </c>
    </row>
    <row r="1953" spans="1:3" x14ac:dyDescent="0.25">
      <c r="A1953" s="6">
        <v>2907720</v>
      </c>
      <c r="B1953" s="6" t="s">
        <v>2133</v>
      </c>
      <c r="C1953" s="77">
        <v>15897</v>
      </c>
    </row>
    <row r="1954" spans="1:3" x14ac:dyDescent="0.25">
      <c r="A1954" s="6">
        <v>2907737</v>
      </c>
      <c r="B1954" s="6" t="s">
        <v>2906</v>
      </c>
      <c r="C1954" s="77">
        <v>44469</v>
      </c>
    </row>
    <row r="1955" spans="1:3" x14ac:dyDescent="0.25">
      <c r="A1955" s="6">
        <v>2907740</v>
      </c>
      <c r="B1955" s="6" t="s">
        <v>2134</v>
      </c>
      <c r="C1955" s="77">
        <v>6221</v>
      </c>
    </row>
    <row r="1956" spans="1:3" x14ac:dyDescent="0.25">
      <c r="A1956" s="6">
        <v>2907741</v>
      </c>
      <c r="B1956" s="6" t="s">
        <v>2135</v>
      </c>
      <c r="C1956" s="77">
        <v>13219</v>
      </c>
    </row>
    <row r="1957" spans="1:3" x14ac:dyDescent="0.25">
      <c r="A1957" s="6">
        <v>2907742</v>
      </c>
      <c r="B1957" s="6" t="s">
        <v>2136</v>
      </c>
      <c r="C1957" s="77">
        <v>9541</v>
      </c>
    </row>
    <row r="1958" spans="1:3" x14ac:dyDescent="0.25">
      <c r="A1958" s="6">
        <v>2907743</v>
      </c>
      <c r="B1958" s="6" t="s">
        <v>2137</v>
      </c>
      <c r="C1958" s="77">
        <v>1979</v>
      </c>
    </row>
    <row r="1959" spans="1:3" x14ac:dyDescent="0.25">
      <c r="A1959" s="6">
        <v>2907744</v>
      </c>
      <c r="B1959" s="6" t="s">
        <v>2138</v>
      </c>
      <c r="C1959" s="77">
        <v>21313</v>
      </c>
    </row>
    <row r="1960" spans="1:3" x14ac:dyDescent="0.25">
      <c r="A1960" s="6">
        <v>2907745</v>
      </c>
      <c r="B1960" s="6" t="s">
        <v>2139</v>
      </c>
      <c r="C1960" s="77">
        <v>3640</v>
      </c>
    </row>
    <row r="1961" spans="1:3" x14ac:dyDescent="0.25">
      <c r="A1961" s="6">
        <v>2907756</v>
      </c>
      <c r="B1961" s="6" t="s">
        <v>2140</v>
      </c>
      <c r="C1961" s="77">
        <v>26314</v>
      </c>
    </row>
    <row r="1962" spans="1:3" x14ac:dyDescent="0.25">
      <c r="A1962" s="6">
        <v>2907757</v>
      </c>
      <c r="B1962" s="6" t="s">
        <v>2141</v>
      </c>
      <c r="C1962" s="77">
        <v>29294</v>
      </c>
    </row>
    <row r="1963" spans="1:3" x14ac:dyDescent="0.25">
      <c r="A1963" s="6">
        <v>2907758</v>
      </c>
      <c r="B1963" s="6" t="s">
        <v>2142</v>
      </c>
      <c r="C1963" s="77">
        <v>30843</v>
      </c>
    </row>
    <row r="1964" spans="1:3" x14ac:dyDescent="0.25">
      <c r="A1964" s="6">
        <v>2907844</v>
      </c>
      <c r="B1964" s="6" t="s">
        <v>2143</v>
      </c>
      <c r="C1964" s="77">
        <v>173772</v>
      </c>
    </row>
    <row r="1965" spans="1:3" x14ac:dyDescent="0.25">
      <c r="A1965" s="6">
        <v>2907845</v>
      </c>
      <c r="B1965" s="6" t="s">
        <v>2144</v>
      </c>
      <c r="C1965" s="77">
        <v>286856</v>
      </c>
    </row>
    <row r="1966" spans="1:3" x14ac:dyDescent="0.25">
      <c r="A1966" s="6">
        <v>2907849</v>
      </c>
      <c r="B1966" s="6" t="s">
        <v>2145</v>
      </c>
      <c r="C1966" s="77">
        <v>257234</v>
      </c>
    </row>
    <row r="1967" spans="1:3" x14ac:dyDescent="0.25">
      <c r="A1967" s="6">
        <v>2907850</v>
      </c>
      <c r="B1967" s="6" t="s">
        <v>2146</v>
      </c>
      <c r="C1967" s="77">
        <v>257234</v>
      </c>
    </row>
    <row r="1968" spans="1:3" x14ac:dyDescent="0.25">
      <c r="A1968" s="6">
        <v>2907870</v>
      </c>
      <c r="B1968" s="6" t="s">
        <v>2147</v>
      </c>
      <c r="C1968" s="77">
        <v>37670</v>
      </c>
    </row>
    <row r="1969" spans="1:3" x14ac:dyDescent="0.25">
      <c r="A1969" s="6">
        <v>2907871</v>
      </c>
      <c r="B1969" s="6" t="s">
        <v>2148</v>
      </c>
      <c r="C1969" s="77">
        <v>32740</v>
      </c>
    </row>
    <row r="1970" spans="1:3" x14ac:dyDescent="0.25">
      <c r="A1970" s="6">
        <v>2907872</v>
      </c>
      <c r="B1970" s="6" t="s">
        <v>2149</v>
      </c>
      <c r="C1970" s="77">
        <v>14403</v>
      </c>
    </row>
    <row r="1971" spans="1:3" x14ac:dyDescent="0.25">
      <c r="A1971" s="6">
        <v>2907873</v>
      </c>
      <c r="B1971" s="6" t="s">
        <v>2150</v>
      </c>
      <c r="C1971" s="77">
        <v>44540</v>
      </c>
    </row>
    <row r="1972" spans="1:3" x14ac:dyDescent="0.25">
      <c r="A1972" s="6">
        <v>2907874</v>
      </c>
      <c r="B1972" s="6" t="s">
        <v>2151</v>
      </c>
      <c r="C1972" s="77">
        <v>15844</v>
      </c>
    </row>
    <row r="1973" spans="1:3" x14ac:dyDescent="0.25">
      <c r="A1973" s="6">
        <v>2907875</v>
      </c>
      <c r="B1973" s="6" t="s">
        <v>2152</v>
      </c>
      <c r="C1973" s="77">
        <v>15844</v>
      </c>
    </row>
    <row r="1974" spans="1:3" x14ac:dyDescent="0.25">
      <c r="A1974" s="6">
        <v>2907876</v>
      </c>
      <c r="B1974" s="6" t="s">
        <v>2153</v>
      </c>
      <c r="C1974" s="77">
        <v>11690</v>
      </c>
    </row>
    <row r="1975" spans="1:3" x14ac:dyDescent="0.25">
      <c r="A1975" s="6">
        <v>2907877</v>
      </c>
      <c r="B1975" s="6" t="s">
        <v>2154</v>
      </c>
      <c r="C1975" s="77">
        <v>2770</v>
      </c>
    </row>
    <row r="1976" spans="1:3" x14ac:dyDescent="0.25">
      <c r="A1976" s="6">
        <v>2907878</v>
      </c>
      <c r="B1976" s="6" t="s">
        <v>2155</v>
      </c>
      <c r="C1976" s="77">
        <v>7479</v>
      </c>
    </row>
    <row r="1977" spans="1:3" x14ac:dyDescent="0.25">
      <c r="A1977" s="6">
        <v>2907879</v>
      </c>
      <c r="B1977" s="6" t="s">
        <v>2156</v>
      </c>
      <c r="C1977" s="77">
        <v>10028</v>
      </c>
    </row>
    <row r="1978" spans="1:3" x14ac:dyDescent="0.25">
      <c r="A1978" s="6">
        <v>2907997</v>
      </c>
      <c r="B1978" s="6" t="s">
        <v>2157</v>
      </c>
      <c r="C1978" s="77">
        <v>53590</v>
      </c>
    </row>
    <row r="1979" spans="1:3" x14ac:dyDescent="0.25">
      <c r="A1979" s="6">
        <v>2908021</v>
      </c>
      <c r="B1979" s="6" t="s">
        <v>2158</v>
      </c>
      <c r="C1979" s="77">
        <v>27019</v>
      </c>
    </row>
    <row r="1980" spans="1:3" x14ac:dyDescent="0.25">
      <c r="A1980" s="6">
        <v>2908022</v>
      </c>
      <c r="B1980" s="6" t="s">
        <v>2907</v>
      </c>
      <c r="C1980" s="77">
        <v>44522</v>
      </c>
    </row>
    <row r="1981" spans="1:3" x14ac:dyDescent="0.25">
      <c r="A1981" s="6">
        <v>2908101</v>
      </c>
      <c r="B1981" s="6" t="s">
        <v>2159</v>
      </c>
      <c r="C1981" s="77">
        <v>7082</v>
      </c>
    </row>
    <row r="1982" spans="1:3" x14ac:dyDescent="0.25">
      <c r="A1982" s="6">
        <v>2908102</v>
      </c>
      <c r="B1982" s="6" t="s">
        <v>2160</v>
      </c>
      <c r="C1982" s="77">
        <v>15230</v>
      </c>
    </row>
    <row r="1983" spans="1:3" x14ac:dyDescent="0.25">
      <c r="A1983" s="6">
        <v>2908103</v>
      </c>
      <c r="B1983" s="6" t="s">
        <v>2161</v>
      </c>
      <c r="C1983" s="77">
        <v>22644</v>
      </c>
    </row>
    <row r="1984" spans="1:3" x14ac:dyDescent="0.25">
      <c r="A1984" s="6">
        <v>2908104</v>
      </c>
      <c r="B1984" s="6" t="s">
        <v>2162</v>
      </c>
      <c r="C1984" s="77">
        <v>58942</v>
      </c>
    </row>
    <row r="1985" spans="1:3" x14ac:dyDescent="0.25">
      <c r="A1985" s="6">
        <v>2908105</v>
      </c>
      <c r="B1985" s="6" t="s">
        <v>2163</v>
      </c>
      <c r="C1985" s="77">
        <v>2650</v>
      </c>
    </row>
    <row r="1986" spans="1:3" x14ac:dyDescent="0.25">
      <c r="A1986" s="6">
        <v>2908106</v>
      </c>
      <c r="B1986" s="6" t="s">
        <v>2164</v>
      </c>
      <c r="C1986" s="77">
        <v>6098</v>
      </c>
    </row>
    <row r="1987" spans="1:3" x14ac:dyDescent="0.25">
      <c r="A1987" s="6">
        <v>2908107</v>
      </c>
      <c r="B1987" s="6" t="s">
        <v>2165</v>
      </c>
      <c r="C1987" s="77">
        <v>5753</v>
      </c>
    </row>
    <row r="1988" spans="1:3" x14ac:dyDescent="0.25">
      <c r="A1988" s="6">
        <v>2908108</v>
      </c>
      <c r="B1988" s="6" t="s">
        <v>2166</v>
      </c>
      <c r="C1988" s="77">
        <v>10135</v>
      </c>
    </row>
    <row r="1989" spans="1:3" x14ac:dyDescent="0.25">
      <c r="A1989" s="6">
        <v>2908109</v>
      </c>
      <c r="B1989" s="6" t="s">
        <v>2167</v>
      </c>
      <c r="C1989" s="77">
        <v>10135</v>
      </c>
    </row>
    <row r="1990" spans="1:3" x14ac:dyDescent="0.25">
      <c r="A1990" s="6">
        <v>2908110</v>
      </c>
      <c r="B1990" s="6" t="s">
        <v>2168</v>
      </c>
      <c r="C1990" s="77">
        <v>38107</v>
      </c>
    </row>
    <row r="1991" spans="1:3" x14ac:dyDescent="0.25">
      <c r="A1991" s="6">
        <v>2908111</v>
      </c>
      <c r="B1991" s="6" t="s">
        <v>2169</v>
      </c>
      <c r="C1991" s="77">
        <v>23975</v>
      </c>
    </row>
    <row r="1992" spans="1:3" x14ac:dyDescent="0.25">
      <c r="A1992" s="6">
        <v>2908112</v>
      </c>
      <c r="B1992" s="6" t="s">
        <v>2170</v>
      </c>
      <c r="C1992" s="77">
        <v>32100</v>
      </c>
    </row>
    <row r="1993" spans="1:3" x14ac:dyDescent="0.25">
      <c r="A1993" s="6">
        <v>2908113</v>
      </c>
      <c r="B1993" s="6" t="s">
        <v>2171</v>
      </c>
      <c r="C1993" s="77">
        <v>4717</v>
      </c>
    </row>
    <row r="1994" spans="1:3" x14ac:dyDescent="0.25">
      <c r="A1994" s="6">
        <v>2908114</v>
      </c>
      <c r="B1994" s="6" t="s">
        <v>2172</v>
      </c>
      <c r="C1994" s="77">
        <v>4717</v>
      </c>
    </row>
    <row r="1995" spans="1:3" x14ac:dyDescent="0.25">
      <c r="A1995" s="6">
        <v>2908115</v>
      </c>
      <c r="B1995" s="6" t="s">
        <v>2173</v>
      </c>
      <c r="C1995" s="77">
        <v>8970</v>
      </c>
    </row>
    <row r="1996" spans="1:3" x14ac:dyDescent="0.25">
      <c r="A1996" s="6">
        <v>2908116</v>
      </c>
      <c r="B1996" s="6" t="s">
        <v>2174</v>
      </c>
      <c r="C1996" s="77">
        <v>8970</v>
      </c>
    </row>
    <row r="1997" spans="1:3" x14ac:dyDescent="0.25">
      <c r="A1997" s="6">
        <v>2908117</v>
      </c>
      <c r="B1997" s="6" t="s">
        <v>2175</v>
      </c>
      <c r="C1997" s="77">
        <v>3343</v>
      </c>
    </row>
    <row r="1998" spans="1:3" x14ac:dyDescent="0.25">
      <c r="A1998" s="6">
        <v>2908118</v>
      </c>
      <c r="B1998" s="6" t="s">
        <v>2176</v>
      </c>
      <c r="C1998" s="77">
        <v>3343</v>
      </c>
    </row>
    <row r="1999" spans="1:3" x14ac:dyDescent="0.25">
      <c r="A1999" s="6">
        <v>2908119</v>
      </c>
      <c r="B1999" s="6" t="s">
        <v>2177</v>
      </c>
      <c r="C1999" s="77">
        <v>4055</v>
      </c>
    </row>
    <row r="2000" spans="1:3" x14ac:dyDescent="0.25">
      <c r="A2000" s="6">
        <v>2908120</v>
      </c>
      <c r="B2000" s="6" t="s">
        <v>2178</v>
      </c>
      <c r="C2000" s="77">
        <v>4055</v>
      </c>
    </row>
    <row r="2001" spans="1:3" x14ac:dyDescent="0.25">
      <c r="A2001" s="6">
        <v>2908121</v>
      </c>
      <c r="B2001" s="6" t="s">
        <v>2179</v>
      </c>
      <c r="C2001" s="77">
        <v>8715</v>
      </c>
    </row>
    <row r="2002" spans="1:3" x14ac:dyDescent="0.25">
      <c r="A2002" s="6">
        <v>2908122</v>
      </c>
      <c r="B2002" s="6" t="s">
        <v>2180</v>
      </c>
      <c r="C2002" s="77">
        <v>8715</v>
      </c>
    </row>
    <row r="2003" spans="1:3" x14ac:dyDescent="0.25">
      <c r="A2003" s="6">
        <v>2908123</v>
      </c>
      <c r="B2003" s="6" t="s">
        <v>2181</v>
      </c>
      <c r="C2003" s="77">
        <v>15349</v>
      </c>
    </row>
    <row r="2004" spans="1:3" x14ac:dyDescent="0.25">
      <c r="A2004" s="6">
        <v>2908124</v>
      </c>
      <c r="B2004" s="6" t="s">
        <v>2182</v>
      </c>
      <c r="C2004" s="77">
        <v>15349</v>
      </c>
    </row>
    <row r="2005" spans="1:3" x14ac:dyDescent="0.25">
      <c r="A2005" s="6">
        <v>2908125</v>
      </c>
      <c r="B2005" s="6" t="s">
        <v>2183</v>
      </c>
      <c r="C2005" s="77">
        <v>55817</v>
      </c>
    </row>
    <row r="2006" spans="1:3" x14ac:dyDescent="0.25">
      <c r="A2006" s="6">
        <v>2908126</v>
      </c>
      <c r="B2006" s="6" t="s">
        <v>2184</v>
      </c>
      <c r="C2006" s="77">
        <v>2890</v>
      </c>
    </row>
    <row r="2007" spans="1:3" x14ac:dyDescent="0.25">
      <c r="A2007" s="6">
        <v>2908127</v>
      </c>
      <c r="B2007" s="6" t="s">
        <v>2185</v>
      </c>
      <c r="C2007" s="77">
        <v>3531</v>
      </c>
    </row>
    <row r="2008" spans="1:3" x14ac:dyDescent="0.25">
      <c r="A2008" s="6">
        <v>2908128</v>
      </c>
      <c r="B2008" s="6" t="s">
        <v>2186</v>
      </c>
      <c r="C2008" s="77">
        <v>3387</v>
      </c>
    </row>
    <row r="2009" spans="1:3" x14ac:dyDescent="0.25">
      <c r="A2009" s="6">
        <v>2908129</v>
      </c>
      <c r="B2009" s="6" t="s">
        <v>2187</v>
      </c>
      <c r="C2009" s="77">
        <v>4177</v>
      </c>
    </row>
    <row r="2010" spans="1:3" x14ac:dyDescent="0.25">
      <c r="A2010" s="6">
        <v>2908130</v>
      </c>
      <c r="B2010" s="6" t="s">
        <v>2188</v>
      </c>
      <c r="C2010" s="77">
        <v>7846</v>
      </c>
    </row>
    <row r="2011" spans="1:3" x14ac:dyDescent="0.25">
      <c r="A2011" s="6">
        <v>2908131</v>
      </c>
      <c r="B2011" s="6" t="s">
        <v>2189</v>
      </c>
      <c r="C2011" s="77">
        <v>9083</v>
      </c>
    </row>
    <row r="2012" spans="1:3" x14ac:dyDescent="0.25">
      <c r="A2012" s="6">
        <v>2908132</v>
      </c>
      <c r="B2012" s="6" t="s">
        <v>2190</v>
      </c>
      <c r="C2012" s="77">
        <v>13643</v>
      </c>
    </row>
    <row r="2013" spans="1:3" x14ac:dyDescent="0.25">
      <c r="A2013" s="6">
        <v>2908133</v>
      </c>
      <c r="B2013" s="6" t="s">
        <v>2191</v>
      </c>
      <c r="C2013" s="77">
        <v>16820</v>
      </c>
    </row>
    <row r="2014" spans="1:3" x14ac:dyDescent="0.25">
      <c r="A2014" s="6">
        <v>2908134</v>
      </c>
      <c r="B2014" s="6" t="s">
        <v>2192</v>
      </c>
      <c r="C2014" s="77">
        <v>3387</v>
      </c>
    </row>
    <row r="2015" spans="1:3" x14ac:dyDescent="0.25">
      <c r="A2015" s="6">
        <v>2908135</v>
      </c>
      <c r="B2015" s="6" t="s">
        <v>2193</v>
      </c>
      <c r="C2015" s="77">
        <v>7846</v>
      </c>
    </row>
    <row r="2016" spans="1:3" x14ac:dyDescent="0.25">
      <c r="A2016" s="6">
        <v>2908136</v>
      </c>
      <c r="B2016" s="6" t="s">
        <v>2194</v>
      </c>
      <c r="C2016" s="77">
        <v>34885</v>
      </c>
    </row>
    <row r="2017" spans="1:3" x14ac:dyDescent="0.25">
      <c r="A2017" s="6">
        <v>2908137</v>
      </c>
      <c r="B2017" s="6" t="s">
        <v>2195</v>
      </c>
      <c r="C2017" s="77">
        <v>39828</v>
      </c>
    </row>
    <row r="2018" spans="1:3" x14ac:dyDescent="0.25">
      <c r="A2018" s="6">
        <v>2908138</v>
      </c>
      <c r="B2018" s="6" t="s">
        <v>2196</v>
      </c>
      <c r="C2018" s="77">
        <v>5606</v>
      </c>
    </row>
    <row r="2019" spans="1:3" x14ac:dyDescent="0.25">
      <c r="A2019" s="6">
        <v>2908139</v>
      </c>
      <c r="B2019" s="6" t="s">
        <v>2197</v>
      </c>
      <c r="C2019" s="77">
        <v>11310</v>
      </c>
    </row>
    <row r="2020" spans="1:3" x14ac:dyDescent="0.25">
      <c r="A2020" s="6">
        <v>2908140</v>
      </c>
      <c r="B2020" s="6" t="s">
        <v>2198</v>
      </c>
      <c r="C2020" s="77">
        <v>24720</v>
      </c>
    </row>
    <row r="2021" spans="1:3" x14ac:dyDescent="0.25">
      <c r="A2021" s="6">
        <v>2908141</v>
      </c>
      <c r="B2021" s="6" t="s">
        <v>2199</v>
      </c>
      <c r="C2021" s="77">
        <v>5935</v>
      </c>
    </row>
    <row r="2022" spans="1:3" x14ac:dyDescent="0.25">
      <c r="A2022" s="6">
        <v>2908142</v>
      </c>
      <c r="B2022" s="6" t="s">
        <v>2200</v>
      </c>
      <c r="C2022" s="77">
        <v>9122</v>
      </c>
    </row>
    <row r="2023" spans="1:3" x14ac:dyDescent="0.25">
      <c r="A2023" s="6">
        <v>2908143</v>
      </c>
      <c r="B2023" s="6" t="s">
        <v>2201</v>
      </c>
      <c r="C2023" s="77">
        <v>958</v>
      </c>
    </row>
    <row r="2024" spans="1:3" x14ac:dyDescent="0.25">
      <c r="A2024" s="6">
        <v>2908144</v>
      </c>
      <c r="B2024" s="6" t="s">
        <v>2202</v>
      </c>
      <c r="C2024" s="77">
        <v>1254</v>
      </c>
    </row>
    <row r="2025" spans="1:3" x14ac:dyDescent="0.25">
      <c r="A2025" s="6">
        <v>2908145</v>
      </c>
      <c r="B2025" s="6" t="s">
        <v>2203</v>
      </c>
      <c r="C2025" s="77">
        <v>1592</v>
      </c>
    </row>
    <row r="2026" spans="1:3" x14ac:dyDescent="0.25">
      <c r="A2026" s="6">
        <v>2908146</v>
      </c>
      <c r="B2026" s="6" t="s">
        <v>2204</v>
      </c>
      <c r="C2026" s="77">
        <v>3160</v>
      </c>
    </row>
    <row r="2027" spans="1:3" x14ac:dyDescent="0.25">
      <c r="A2027" s="6">
        <v>2908147</v>
      </c>
      <c r="B2027" s="6" t="s">
        <v>2205</v>
      </c>
      <c r="C2027" s="77">
        <v>6030</v>
      </c>
    </row>
    <row r="2028" spans="1:3" x14ac:dyDescent="0.25">
      <c r="A2028" s="6">
        <v>2908148</v>
      </c>
      <c r="B2028" s="6" t="s">
        <v>2206</v>
      </c>
      <c r="C2028" s="77">
        <v>6910</v>
      </c>
    </row>
    <row r="2029" spans="1:3" x14ac:dyDescent="0.25">
      <c r="A2029" s="6">
        <v>2908149</v>
      </c>
      <c r="B2029" s="6" t="s">
        <v>2207</v>
      </c>
      <c r="C2029" s="77">
        <v>8671</v>
      </c>
    </row>
    <row r="2030" spans="1:3" x14ac:dyDescent="0.25">
      <c r="A2030" s="6">
        <v>2908150</v>
      </c>
      <c r="B2030" s="6" t="s">
        <v>2208</v>
      </c>
      <c r="C2030" s="77">
        <v>18071</v>
      </c>
    </row>
    <row r="2031" spans="1:3" x14ac:dyDescent="0.25">
      <c r="A2031" s="6">
        <v>2908151</v>
      </c>
      <c r="B2031" s="6" t="s">
        <v>2209</v>
      </c>
      <c r="C2031" s="77">
        <v>29471</v>
      </c>
    </row>
    <row r="2032" spans="1:3" x14ac:dyDescent="0.25">
      <c r="A2032" s="6">
        <v>2908152</v>
      </c>
      <c r="B2032" s="6" t="s">
        <v>2210</v>
      </c>
      <c r="C2032" s="77">
        <v>46862</v>
      </c>
    </row>
    <row r="2033" spans="1:3" x14ac:dyDescent="0.25">
      <c r="A2033" s="6">
        <v>2908153</v>
      </c>
      <c r="B2033" s="6" t="s">
        <v>2211</v>
      </c>
      <c r="C2033" s="77">
        <v>6630</v>
      </c>
    </row>
    <row r="2034" spans="1:3" x14ac:dyDescent="0.25">
      <c r="A2034" s="6">
        <v>2908154</v>
      </c>
      <c r="B2034" s="6" t="s">
        <v>2212</v>
      </c>
      <c r="C2034" s="77">
        <v>16649</v>
      </c>
    </row>
    <row r="2035" spans="1:3" x14ac:dyDescent="0.25">
      <c r="A2035" s="6">
        <v>2908155</v>
      </c>
      <c r="B2035" s="6" t="s">
        <v>2213</v>
      </c>
      <c r="C2035" s="77">
        <v>29041</v>
      </c>
    </row>
    <row r="2036" spans="1:3" x14ac:dyDescent="0.25">
      <c r="A2036" s="6">
        <v>2908156</v>
      </c>
      <c r="B2036" s="6" t="s">
        <v>2214</v>
      </c>
      <c r="C2036" s="77">
        <v>29041</v>
      </c>
    </row>
    <row r="2037" spans="1:3" x14ac:dyDescent="0.25">
      <c r="A2037" s="6">
        <v>2908157</v>
      </c>
      <c r="B2037" s="6" t="s">
        <v>2215</v>
      </c>
      <c r="C2037" s="77">
        <v>2386</v>
      </c>
    </row>
    <row r="2038" spans="1:3" x14ac:dyDescent="0.25">
      <c r="A2038" s="6">
        <v>2908158</v>
      </c>
      <c r="B2038" s="6" t="s">
        <v>2216</v>
      </c>
      <c r="C2038" s="77">
        <v>2732</v>
      </c>
    </row>
    <row r="2039" spans="1:3" x14ac:dyDescent="0.25">
      <c r="A2039" s="6">
        <v>2908159</v>
      </c>
      <c r="B2039" s="6" t="s">
        <v>2217</v>
      </c>
      <c r="C2039" s="77">
        <v>3944</v>
      </c>
    </row>
    <row r="2040" spans="1:3" x14ac:dyDescent="0.25">
      <c r="A2040" s="6">
        <v>2908160</v>
      </c>
      <c r="B2040" s="6" t="s">
        <v>2218</v>
      </c>
      <c r="C2040" s="77">
        <v>7949</v>
      </c>
    </row>
    <row r="2041" spans="1:3" x14ac:dyDescent="0.25">
      <c r="A2041" s="6">
        <v>2908161</v>
      </c>
      <c r="B2041" s="6" t="s">
        <v>2219</v>
      </c>
      <c r="C2041" s="77">
        <v>34529</v>
      </c>
    </row>
    <row r="2042" spans="1:3" x14ac:dyDescent="0.25">
      <c r="A2042" s="6">
        <v>2908162</v>
      </c>
      <c r="B2042" s="6" t="s">
        <v>2220</v>
      </c>
      <c r="C2042" s="77">
        <v>2732</v>
      </c>
    </row>
    <row r="2043" spans="1:3" x14ac:dyDescent="0.25">
      <c r="A2043" s="6">
        <v>2908163</v>
      </c>
      <c r="B2043" s="6" t="s">
        <v>2221</v>
      </c>
      <c r="C2043" s="77">
        <v>3944</v>
      </c>
    </row>
    <row r="2044" spans="1:3" x14ac:dyDescent="0.25">
      <c r="A2044" s="6">
        <v>2908164</v>
      </c>
      <c r="B2044" s="6" t="s">
        <v>2222</v>
      </c>
      <c r="C2044" s="77">
        <v>7771</v>
      </c>
    </row>
    <row r="2045" spans="1:3" x14ac:dyDescent="0.25">
      <c r="A2045" s="6">
        <v>2908165</v>
      </c>
      <c r="B2045" s="6" t="s">
        <v>2223</v>
      </c>
      <c r="C2045" s="77">
        <v>15962</v>
      </c>
    </row>
    <row r="2046" spans="1:3" x14ac:dyDescent="0.25">
      <c r="A2046" s="6">
        <v>2908166</v>
      </c>
      <c r="B2046" s="6" t="s">
        <v>2224</v>
      </c>
      <c r="C2046" s="77">
        <v>27775</v>
      </c>
    </row>
    <row r="2047" spans="1:3" x14ac:dyDescent="0.25">
      <c r="A2047" s="6">
        <v>2908167</v>
      </c>
      <c r="B2047" s="6" t="s">
        <v>2225</v>
      </c>
      <c r="C2047" s="77">
        <v>48955</v>
      </c>
    </row>
    <row r="2048" spans="1:3" x14ac:dyDescent="0.25">
      <c r="A2048" s="6">
        <v>2908168</v>
      </c>
      <c r="B2048" s="6" t="s">
        <v>2226</v>
      </c>
      <c r="C2048" s="77">
        <v>31565</v>
      </c>
    </row>
    <row r="2049" spans="1:3" x14ac:dyDescent="0.25">
      <c r="A2049" s="6">
        <v>2908169</v>
      </c>
      <c r="B2049" s="6" t="s">
        <v>2227</v>
      </c>
      <c r="C2049" s="77">
        <v>15077</v>
      </c>
    </row>
    <row r="2050" spans="1:3" x14ac:dyDescent="0.25">
      <c r="A2050" s="6">
        <v>2908170</v>
      </c>
      <c r="B2050" s="6" t="s">
        <v>2228</v>
      </c>
      <c r="C2050" s="77">
        <v>23842</v>
      </c>
    </row>
    <row r="2051" spans="1:3" x14ac:dyDescent="0.25">
      <c r="A2051" s="6">
        <v>2908171</v>
      </c>
      <c r="B2051" s="6" t="s">
        <v>2229</v>
      </c>
      <c r="C2051" s="77">
        <v>23842</v>
      </c>
    </row>
    <row r="2052" spans="1:3" x14ac:dyDescent="0.25">
      <c r="A2052" s="6">
        <v>2908186</v>
      </c>
      <c r="B2052" s="6" t="s">
        <v>2230</v>
      </c>
      <c r="C2052" s="77">
        <v>29690</v>
      </c>
    </row>
    <row r="2053" spans="1:3" x14ac:dyDescent="0.25">
      <c r="A2053" s="6">
        <v>2908187</v>
      </c>
      <c r="B2053" s="6" t="s">
        <v>2231</v>
      </c>
      <c r="C2053" s="77">
        <v>31213</v>
      </c>
    </row>
    <row r="2054" spans="1:3" x14ac:dyDescent="0.25">
      <c r="A2054" s="6">
        <v>2908314</v>
      </c>
      <c r="B2054" s="6" t="s">
        <v>2232</v>
      </c>
      <c r="C2054" s="77">
        <v>923</v>
      </c>
    </row>
    <row r="2055" spans="1:3" x14ac:dyDescent="0.25">
      <c r="A2055" s="6">
        <v>2908315</v>
      </c>
      <c r="B2055" s="6" t="s">
        <v>2233</v>
      </c>
      <c r="C2055" s="77">
        <v>2057</v>
      </c>
    </row>
    <row r="2056" spans="1:3" x14ac:dyDescent="0.25">
      <c r="A2056" s="6">
        <v>2908316</v>
      </c>
      <c r="B2056" s="6" t="s">
        <v>2234</v>
      </c>
      <c r="C2056" s="77">
        <v>3363</v>
      </c>
    </row>
    <row r="2057" spans="1:3" x14ac:dyDescent="0.25">
      <c r="A2057" s="6">
        <v>2908317</v>
      </c>
      <c r="B2057" s="6" t="s">
        <v>2235</v>
      </c>
      <c r="C2057" s="77">
        <v>5687</v>
      </c>
    </row>
    <row r="2058" spans="1:3" x14ac:dyDescent="0.25">
      <c r="A2058" s="6">
        <v>2908318</v>
      </c>
      <c r="B2058" s="6" t="s">
        <v>2236</v>
      </c>
      <c r="C2058" s="77">
        <v>10124</v>
      </c>
    </row>
    <row r="2059" spans="1:3" x14ac:dyDescent="0.25">
      <c r="A2059" s="6">
        <v>2908319</v>
      </c>
      <c r="B2059" s="6" t="s">
        <v>2237</v>
      </c>
      <c r="C2059" s="77">
        <v>454</v>
      </c>
    </row>
    <row r="2060" spans="1:3" x14ac:dyDescent="0.25">
      <c r="A2060" s="6">
        <v>2908320</v>
      </c>
      <c r="B2060" s="6" t="s">
        <v>2238</v>
      </c>
      <c r="C2060" s="77">
        <v>454</v>
      </c>
    </row>
    <row r="2061" spans="1:3" x14ac:dyDescent="0.25">
      <c r="A2061" s="6">
        <v>2908321</v>
      </c>
      <c r="B2061" s="6" t="s">
        <v>2239</v>
      </c>
      <c r="C2061" s="77">
        <v>823</v>
      </c>
    </row>
    <row r="2062" spans="1:3" x14ac:dyDescent="0.25">
      <c r="A2062" s="6">
        <v>2908322</v>
      </c>
      <c r="B2062" s="6" t="s">
        <v>2240</v>
      </c>
      <c r="C2062" s="77">
        <v>3616</v>
      </c>
    </row>
    <row r="2063" spans="1:3" x14ac:dyDescent="0.25">
      <c r="A2063" s="6">
        <v>2908323</v>
      </c>
      <c r="B2063" s="6" t="s">
        <v>2241</v>
      </c>
      <c r="C2063" s="77">
        <v>4237</v>
      </c>
    </row>
    <row r="2064" spans="1:3" x14ac:dyDescent="0.25">
      <c r="A2064" s="6">
        <v>2908324</v>
      </c>
      <c r="B2064" s="6" t="s">
        <v>2242</v>
      </c>
      <c r="C2064" s="77">
        <v>6053</v>
      </c>
    </row>
    <row r="2065" spans="1:3" x14ac:dyDescent="0.25">
      <c r="A2065" s="6">
        <v>2908325</v>
      </c>
      <c r="B2065" s="6" t="s">
        <v>2243</v>
      </c>
      <c r="C2065" s="77">
        <v>638</v>
      </c>
    </row>
    <row r="2066" spans="1:3" x14ac:dyDescent="0.25">
      <c r="A2066" s="6">
        <v>2908326</v>
      </c>
      <c r="B2066" s="6" t="s">
        <v>2244</v>
      </c>
      <c r="C2066" s="77">
        <v>1270</v>
      </c>
    </row>
    <row r="2067" spans="1:3" x14ac:dyDescent="0.25">
      <c r="A2067" s="6">
        <v>2908327</v>
      </c>
      <c r="B2067" s="6" t="s">
        <v>2245</v>
      </c>
      <c r="C2067" s="77">
        <v>1270</v>
      </c>
    </row>
    <row r="2068" spans="1:3" x14ac:dyDescent="0.25">
      <c r="A2068" s="6">
        <v>2908328</v>
      </c>
      <c r="B2068" s="6" t="s">
        <v>2246</v>
      </c>
      <c r="C2068" s="77">
        <v>2439</v>
      </c>
    </row>
    <row r="2069" spans="1:3" x14ac:dyDescent="0.25">
      <c r="A2069" s="6">
        <v>2908329</v>
      </c>
      <c r="B2069" s="6" t="s">
        <v>2247</v>
      </c>
      <c r="C2069" s="77">
        <v>2439</v>
      </c>
    </row>
    <row r="2070" spans="1:3" x14ac:dyDescent="0.25">
      <c r="A2070" s="6">
        <v>2908330</v>
      </c>
      <c r="B2070" s="6" t="s">
        <v>2248</v>
      </c>
      <c r="C2070" s="77">
        <v>2439</v>
      </c>
    </row>
    <row r="2071" spans="1:3" x14ac:dyDescent="0.25">
      <c r="A2071" s="6">
        <v>2908331</v>
      </c>
      <c r="B2071" s="6" t="s">
        <v>2249</v>
      </c>
      <c r="C2071" s="77">
        <v>3765</v>
      </c>
    </row>
    <row r="2072" spans="1:3" x14ac:dyDescent="0.25">
      <c r="A2072" s="6">
        <v>2908332</v>
      </c>
      <c r="B2072" s="6" t="s">
        <v>2250</v>
      </c>
      <c r="C2072" s="77">
        <v>3765</v>
      </c>
    </row>
    <row r="2073" spans="1:3" x14ac:dyDescent="0.25">
      <c r="A2073" s="6">
        <v>2908333</v>
      </c>
      <c r="B2073" s="6" t="s">
        <v>2251</v>
      </c>
      <c r="C2073" s="77">
        <v>3765</v>
      </c>
    </row>
    <row r="2074" spans="1:3" x14ac:dyDescent="0.25">
      <c r="A2074" s="6">
        <v>2908334</v>
      </c>
      <c r="B2074" s="6" t="s">
        <v>2252</v>
      </c>
      <c r="C2074" s="77">
        <v>3765</v>
      </c>
    </row>
    <row r="2075" spans="1:3" x14ac:dyDescent="0.25">
      <c r="A2075" s="6">
        <v>2908335</v>
      </c>
      <c r="B2075" s="6" t="s">
        <v>2253</v>
      </c>
      <c r="C2075" s="77">
        <v>5756</v>
      </c>
    </row>
    <row r="2076" spans="1:3" x14ac:dyDescent="0.25">
      <c r="A2076" s="6">
        <v>2908336</v>
      </c>
      <c r="B2076" s="6" t="s">
        <v>2254</v>
      </c>
      <c r="C2076" s="77">
        <v>5756</v>
      </c>
    </row>
    <row r="2077" spans="1:3" x14ac:dyDescent="0.25">
      <c r="A2077" s="6">
        <v>2908337</v>
      </c>
      <c r="B2077" s="6" t="s">
        <v>2255</v>
      </c>
      <c r="C2077" s="77">
        <v>1088</v>
      </c>
    </row>
    <row r="2078" spans="1:3" x14ac:dyDescent="0.25">
      <c r="A2078" s="6">
        <v>2908338</v>
      </c>
      <c r="B2078" s="6" t="s">
        <v>2256</v>
      </c>
      <c r="C2078" s="77">
        <v>1739</v>
      </c>
    </row>
    <row r="2079" spans="1:3" x14ac:dyDescent="0.25">
      <c r="A2079" s="6">
        <v>2908339</v>
      </c>
      <c r="B2079" s="6" t="s">
        <v>2257</v>
      </c>
      <c r="C2079" s="77">
        <v>3311</v>
      </c>
    </row>
    <row r="2080" spans="1:3" x14ac:dyDescent="0.25">
      <c r="A2080" s="6">
        <v>2908340</v>
      </c>
      <c r="B2080" s="6" t="s">
        <v>2258</v>
      </c>
      <c r="C2080" s="77">
        <v>5988</v>
      </c>
    </row>
    <row r="2081" spans="1:3" x14ac:dyDescent="0.25">
      <c r="A2081" s="6">
        <v>2908341</v>
      </c>
      <c r="B2081" s="6" t="s">
        <v>2259</v>
      </c>
      <c r="C2081" s="77">
        <v>8029</v>
      </c>
    </row>
    <row r="2082" spans="1:3" x14ac:dyDescent="0.25">
      <c r="A2082" s="6">
        <v>2908342</v>
      </c>
      <c r="B2082" s="6" t="s">
        <v>2260</v>
      </c>
      <c r="C2082" s="77">
        <v>13276</v>
      </c>
    </row>
    <row r="2083" spans="1:3" x14ac:dyDescent="0.25">
      <c r="A2083" s="6">
        <v>2908343</v>
      </c>
      <c r="B2083" s="6" t="s">
        <v>2261</v>
      </c>
      <c r="C2083" s="77">
        <v>659</v>
      </c>
    </row>
    <row r="2084" spans="1:3" x14ac:dyDescent="0.25">
      <c r="A2084" s="6">
        <v>2908344</v>
      </c>
      <c r="B2084" s="6" t="s">
        <v>2262</v>
      </c>
      <c r="C2084" s="77">
        <v>659</v>
      </c>
    </row>
    <row r="2085" spans="1:3" x14ac:dyDescent="0.25">
      <c r="A2085" s="6">
        <v>2908345</v>
      </c>
      <c r="B2085" s="6" t="s">
        <v>2263</v>
      </c>
      <c r="C2085" s="77">
        <v>1055</v>
      </c>
    </row>
    <row r="2086" spans="1:3" x14ac:dyDescent="0.25">
      <c r="A2086" s="6">
        <v>2908346</v>
      </c>
      <c r="B2086" s="6" t="s">
        <v>2264</v>
      </c>
      <c r="C2086" s="77">
        <v>2062</v>
      </c>
    </row>
    <row r="2087" spans="1:3" x14ac:dyDescent="0.25">
      <c r="A2087" s="6">
        <v>2908347</v>
      </c>
      <c r="B2087" s="6" t="s">
        <v>2265</v>
      </c>
      <c r="C2087" s="77">
        <v>3960</v>
      </c>
    </row>
    <row r="2088" spans="1:3" x14ac:dyDescent="0.25">
      <c r="A2088" s="6">
        <v>2908348</v>
      </c>
      <c r="B2088" s="6" t="s">
        <v>2266</v>
      </c>
      <c r="C2088" s="77">
        <v>1636</v>
      </c>
    </row>
    <row r="2089" spans="1:3" x14ac:dyDescent="0.25">
      <c r="A2089" s="6">
        <v>2908349</v>
      </c>
      <c r="B2089" s="6" t="s">
        <v>2267</v>
      </c>
      <c r="C2089" s="77">
        <v>514</v>
      </c>
    </row>
    <row r="2090" spans="1:3" x14ac:dyDescent="0.25">
      <c r="A2090" s="6">
        <v>2908350</v>
      </c>
      <c r="B2090" s="6" t="s">
        <v>2268</v>
      </c>
      <c r="C2090" s="77">
        <v>514</v>
      </c>
    </row>
    <row r="2091" spans="1:3" x14ac:dyDescent="0.25">
      <c r="A2091" s="6">
        <v>2908351</v>
      </c>
      <c r="B2091" s="6" t="s">
        <v>2269</v>
      </c>
      <c r="C2091" s="77">
        <v>1507</v>
      </c>
    </row>
    <row r="2092" spans="1:3" x14ac:dyDescent="0.25">
      <c r="A2092" s="6">
        <v>2908352</v>
      </c>
      <c r="B2092" s="6" t="s">
        <v>2270</v>
      </c>
      <c r="C2092" s="77">
        <v>2144</v>
      </c>
    </row>
    <row r="2093" spans="1:3" x14ac:dyDescent="0.25">
      <c r="A2093" s="6">
        <v>2908353</v>
      </c>
      <c r="B2093" s="6" t="s">
        <v>2271</v>
      </c>
      <c r="C2093" s="77">
        <v>3794</v>
      </c>
    </row>
    <row r="2094" spans="1:3" x14ac:dyDescent="0.25">
      <c r="A2094" s="6">
        <v>2908354</v>
      </c>
      <c r="B2094" s="6" t="s">
        <v>2272</v>
      </c>
      <c r="C2094" s="77">
        <v>5021</v>
      </c>
    </row>
    <row r="2095" spans="1:3" x14ac:dyDescent="0.25">
      <c r="A2095" s="6">
        <v>2908355</v>
      </c>
      <c r="B2095" s="6" t="s">
        <v>2273</v>
      </c>
      <c r="C2095" s="77">
        <v>8210</v>
      </c>
    </row>
    <row r="2096" spans="1:3" x14ac:dyDescent="0.25">
      <c r="A2096" s="6">
        <v>2908356</v>
      </c>
      <c r="B2096" s="6" t="s">
        <v>2274</v>
      </c>
      <c r="C2096" s="77">
        <v>376</v>
      </c>
    </row>
    <row r="2097" spans="1:3" x14ac:dyDescent="0.25">
      <c r="A2097" s="6">
        <v>2908357</v>
      </c>
      <c r="B2097" s="6" t="s">
        <v>2275</v>
      </c>
      <c r="C2097" s="77">
        <v>376</v>
      </c>
    </row>
    <row r="2098" spans="1:3" x14ac:dyDescent="0.25">
      <c r="A2098" s="6">
        <v>2908358</v>
      </c>
      <c r="B2098" s="6" t="s">
        <v>2276</v>
      </c>
      <c r="C2098" s="77">
        <v>754</v>
      </c>
    </row>
    <row r="2099" spans="1:3" x14ac:dyDescent="0.25">
      <c r="A2099" s="6">
        <v>2908359</v>
      </c>
      <c r="B2099" s="6" t="s">
        <v>2277</v>
      </c>
      <c r="C2099" s="77">
        <v>1261</v>
      </c>
    </row>
    <row r="2100" spans="1:3" x14ac:dyDescent="0.25">
      <c r="A2100" s="6">
        <v>2908360</v>
      </c>
      <c r="B2100" s="6" t="s">
        <v>2278</v>
      </c>
      <c r="C2100" s="77">
        <v>3037</v>
      </c>
    </row>
    <row r="2101" spans="1:3" x14ac:dyDescent="0.25">
      <c r="A2101" s="6">
        <v>2908361</v>
      </c>
      <c r="B2101" s="6" t="s">
        <v>2279</v>
      </c>
      <c r="C2101" s="77">
        <v>3954</v>
      </c>
    </row>
    <row r="2102" spans="1:3" x14ac:dyDescent="0.25">
      <c r="A2102" s="6">
        <v>2908362</v>
      </c>
      <c r="B2102" s="6" t="s">
        <v>2280</v>
      </c>
      <c r="C2102" s="77">
        <v>6283</v>
      </c>
    </row>
    <row r="2103" spans="1:3" x14ac:dyDescent="0.25">
      <c r="A2103" s="6">
        <v>2908363</v>
      </c>
      <c r="B2103" s="6" t="s">
        <v>2281</v>
      </c>
      <c r="C2103" s="77">
        <v>514</v>
      </c>
    </row>
    <row r="2104" spans="1:3" x14ac:dyDescent="0.25">
      <c r="A2104" s="6">
        <v>2908364</v>
      </c>
      <c r="B2104" s="6" t="s">
        <v>2282</v>
      </c>
      <c r="C2104" s="77">
        <v>868</v>
      </c>
    </row>
    <row r="2105" spans="1:3" x14ac:dyDescent="0.25">
      <c r="A2105" s="6">
        <v>2908365</v>
      </c>
      <c r="B2105" s="6" t="s">
        <v>2283</v>
      </c>
      <c r="C2105" s="77">
        <v>868</v>
      </c>
    </row>
    <row r="2106" spans="1:3" x14ac:dyDescent="0.25">
      <c r="A2106" s="6">
        <v>2908366</v>
      </c>
      <c r="B2106" s="6" t="s">
        <v>2284</v>
      </c>
      <c r="C2106" s="77">
        <v>1468</v>
      </c>
    </row>
    <row r="2107" spans="1:3" x14ac:dyDescent="0.25">
      <c r="A2107" s="6">
        <v>2908367</v>
      </c>
      <c r="B2107" s="6" t="s">
        <v>2285</v>
      </c>
      <c r="C2107" s="77">
        <v>2868</v>
      </c>
    </row>
    <row r="2108" spans="1:3" x14ac:dyDescent="0.25">
      <c r="A2108" s="6">
        <v>2908368</v>
      </c>
      <c r="B2108" s="6" t="s">
        <v>2286</v>
      </c>
      <c r="C2108" s="77">
        <v>7407</v>
      </c>
    </row>
    <row r="2109" spans="1:3" x14ac:dyDescent="0.25">
      <c r="A2109" s="6">
        <v>2908369</v>
      </c>
      <c r="B2109" s="6" t="s">
        <v>2287</v>
      </c>
      <c r="C2109" s="77">
        <v>9723</v>
      </c>
    </row>
    <row r="2110" spans="1:3" x14ac:dyDescent="0.25">
      <c r="A2110" s="6">
        <v>2908370</v>
      </c>
      <c r="B2110" s="6" t="s">
        <v>2288</v>
      </c>
      <c r="C2110" s="77">
        <v>15483</v>
      </c>
    </row>
    <row r="2111" spans="1:3" x14ac:dyDescent="0.25">
      <c r="A2111" s="6">
        <v>2908371</v>
      </c>
      <c r="B2111" s="6" t="s">
        <v>2289</v>
      </c>
      <c r="C2111" s="77">
        <v>1968</v>
      </c>
    </row>
    <row r="2112" spans="1:3" x14ac:dyDescent="0.25">
      <c r="A2112" s="6">
        <v>2908372</v>
      </c>
      <c r="B2112" s="6" t="s">
        <v>2290</v>
      </c>
      <c r="C2112" s="77">
        <v>2163</v>
      </c>
    </row>
    <row r="2113" spans="1:3" x14ac:dyDescent="0.25">
      <c r="A2113" s="6">
        <v>2908373</v>
      </c>
      <c r="B2113" s="6" t="s">
        <v>2291</v>
      </c>
      <c r="C2113" s="77">
        <v>4267</v>
      </c>
    </row>
    <row r="2114" spans="1:3" x14ac:dyDescent="0.25">
      <c r="A2114" s="6">
        <v>2908374</v>
      </c>
      <c r="B2114" s="6" t="s">
        <v>2292</v>
      </c>
      <c r="C2114" s="77">
        <v>4267</v>
      </c>
    </row>
    <row r="2115" spans="1:3" x14ac:dyDescent="0.25">
      <c r="A2115" s="6">
        <v>2908375</v>
      </c>
      <c r="B2115" s="6" t="s">
        <v>2293</v>
      </c>
      <c r="C2115" s="77">
        <v>421</v>
      </c>
    </row>
    <row r="2116" spans="1:3" x14ac:dyDescent="0.25">
      <c r="A2116" s="6">
        <v>2908376</v>
      </c>
      <c r="B2116" s="6" t="s">
        <v>2294</v>
      </c>
      <c r="C2116" s="77">
        <v>421</v>
      </c>
    </row>
    <row r="2117" spans="1:3" x14ac:dyDescent="0.25">
      <c r="A2117" s="6">
        <v>2908377</v>
      </c>
      <c r="B2117" s="6" t="s">
        <v>2295</v>
      </c>
      <c r="C2117" s="77">
        <v>664</v>
      </c>
    </row>
    <row r="2118" spans="1:3" x14ac:dyDescent="0.25">
      <c r="A2118" s="6">
        <v>2908378</v>
      </c>
      <c r="B2118" s="6" t="s">
        <v>2296</v>
      </c>
      <c r="C2118" s="77">
        <v>1088</v>
      </c>
    </row>
    <row r="2119" spans="1:3" x14ac:dyDescent="0.25">
      <c r="A2119" s="6">
        <v>2908379</v>
      </c>
      <c r="B2119" s="6" t="s">
        <v>2297</v>
      </c>
      <c r="C2119" s="77">
        <v>1992</v>
      </c>
    </row>
    <row r="2120" spans="1:3" x14ac:dyDescent="0.25">
      <c r="A2120" s="6">
        <v>2908380</v>
      </c>
      <c r="B2120" s="6" t="s">
        <v>2298</v>
      </c>
      <c r="C2120" s="77">
        <v>2721</v>
      </c>
    </row>
    <row r="2121" spans="1:3" x14ac:dyDescent="0.25">
      <c r="A2121" s="6">
        <v>2908381</v>
      </c>
      <c r="B2121" s="6" t="s">
        <v>2299</v>
      </c>
      <c r="C2121" s="77">
        <v>4458</v>
      </c>
    </row>
    <row r="2122" spans="1:3" x14ac:dyDescent="0.25">
      <c r="A2122" s="6">
        <v>2908382</v>
      </c>
      <c r="B2122" s="6" t="s">
        <v>2300</v>
      </c>
      <c r="C2122" s="77">
        <v>6336</v>
      </c>
    </row>
    <row r="2123" spans="1:3" x14ac:dyDescent="0.25">
      <c r="A2123" s="6">
        <v>2908383</v>
      </c>
      <c r="B2123" s="6" t="s">
        <v>2301</v>
      </c>
      <c r="C2123" s="77">
        <v>6990</v>
      </c>
    </row>
    <row r="2124" spans="1:3" x14ac:dyDescent="0.25">
      <c r="A2124" s="6">
        <v>2908384</v>
      </c>
      <c r="B2124" s="6" t="s">
        <v>2302</v>
      </c>
      <c r="C2124" s="77">
        <v>14568</v>
      </c>
    </row>
    <row r="2125" spans="1:3" x14ac:dyDescent="0.25">
      <c r="A2125" s="6">
        <v>2908385</v>
      </c>
      <c r="B2125" s="6" t="s">
        <v>2303</v>
      </c>
      <c r="C2125" s="77">
        <v>3660</v>
      </c>
    </row>
    <row r="2126" spans="1:3" x14ac:dyDescent="0.25">
      <c r="A2126" s="6">
        <v>2908386</v>
      </c>
      <c r="B2126" s="6" t="s">
        <v>2304</v>
      </c>
      <c r="C2126" s="77">
        <v>6490</v>
      </c>
    </row>
    <row r="2127" spans="1:3" x14ac:dyDescent="0.25">
      <c r="A2127" s="6">
        <v>2908387</v>
      </c>
      <c r="B2127" s="6" t="s">
        <v>2305</v>
      </c>
      <c r="C2127" s="77">
        <v>9810</v>
      </c>
    </row>
    <row r="2128" spans="1:3" x14ac:dyDescent="0.25">
      <c r="A2128" s="6">
        <v>2908388</v>
      </c>
      <c r="B2128" s="6" t="s">
        <v>2306</v>
      </c>
      <c r="C2128" s="77">
        <v>6155</v>
      </c>
    </row>
    <row r="2129" spans="1:3" x14ac:dyDescent="0.25">
      <c r="A2129" s="6">
        <v>2908389</v>
      </c>
      <c r="B2129" s="6" t="s">
        <v>2307</v>
      </c>
      <c r="C2129" s="77">
        <v>7801</v>
      </c>
    </row>
    <row r="2130" spans="1:3" x14ac:dyDescent="0.25">
      <c r="A2130" s="6">
        <v>2908603</v>
      </c>
      <c r="B2130" s="6" t="s">
        <v>2908</v>
      </c>
      <c r="C2130" s="77">
        <v>1827452</v>
      </c>
    </row>
    <row r="2131" spans="1:3" x14ac:dyDescent="0.25">
      <c r="A2131" s="6">
        <v>2908612</v>
      </c>
      <c r="B2131" s="6" t="s">
        <v>2308</v>
      </c>
      <c r="C2131" s="77">
        <v>336394</v>
      </c>
    </row>
    <row r="2132" spans="1:3" x14ac:dyDescent="0.25">
      <c r="A2132" s="6">
        <v>2908616</v>
      </c>
      <c r="B2132" s="6" t="s">
        <v>2909</v>
      </c>
      <c r="C2132" s="77">
        <v>58370</v>
      </c>
    </row>
    <row r="2133" spans="1:3" x14ac:dyDescent="0.25">
      <c r="A2133" s="6">
        <v>2908617</v>
      </c>
      <c r="B2133" s="6" t="s">
        <v>2910</v>
      </c>
      <c r="C2133" s="77">
        <v>60826</v>
      </c>
    </row>
    <row r="2134" spans="1:3" x14ac:dyDescent="0.25">
      <c r="A2134" s="6">
        <v>2908618</v>
      </c>
      <c r="B2134" s="6" t="s">
        <v>2911</v>
      </c>
      <c r="C2134" s="77">
        <v>78606</v>
      </c>
    </row>
    <row r="2135" spans="1:3" x14ac:dyDescent="0.25">
      <c r="A2135" s="6">
        <v>2908619</v>
      </c>
      <c r="B2135" s="6" t="s">
        <v>2912</v>
      </c>
      <c r="C2135" s="77">
        <v>169493</v>
      </c>
    </row>
    <row r="2136" spans="1:3" x14ac:dyDescent="0.25">
      <c r="A2136" s="6">
        <v>2908620</v>
      </c>
      <c r="B2136" s="6" t="s">
        <v>2913</v>
      </c>
      <c r="C2136" s="77">
        <v>54449</v>
      </c>
    </row>
    <row r="2137" spans="1:3" x14ac:dyDescent="0.25">
      <c r="A2137" s="6">
        <v>2908621</v>
      </c>
      <c r="B2137" s="6" t="s">
        <v>2914</v>
      </c>
      <c r="C2137" s="77">
        <v>69227</v>
      </c>
    </row>
    <row r="2138" spans="1:3" x14ac:dyDescent="0.25">
      <c r="A2138" s="6">
        <v>2908622</v>
      </c>
      <c r="B2138" s="6" t="s">
        <v>2915</v>
      </c>
      <c r="C2138" s="77">
        <v>158384</v>
      </c>
    </row>
    <row r="2139" spans="1:3" x14ac:dyDescent="0.25">
      <c r="A2139" s="6">
        <v>2908623</v>
      </c>
      <c r="B2139" s="6" t="s">
        <v>2916</v>
      </c>
      <c r="C2139" s="77">
        <v>86761</v>
      </c>
    </row>
    <row r="2140" spans="1:3" x14ac:dyDescent="0.25">
      <c r="A2140" s="6">
        <v>2908624</v>
      </c>
      <c r="B2140" s="6" t="s">
        <v>2917</v>
      </c>
      <c r="C2140" s="77">
        <v>504801</v>
      </c>
    </row>
    <row r="2141" spans="1:3" x14ac:dyDescent="0.25">
      <c r="A2141" s="6">
        <v>2908715</v>
      </c>
      <c r="B2141" s="6" t="s">
        <v>2309</v>
      </c>
      <c r="C2141" s="77">
        <v>14403</v>
      </c>
    </row>
    <row r="2142" spans="1:3" x14ac:dyDescent="0.25">
      <c r="A2142" s="6">
        <v>2908716</v>
      </c>
      <c r="B2142" s="6" t="s">
        <v>2310</v>
      </c>
      <c r="C2142" s="77">
        <v>32740</v>
      </c>
    </row>
    <row r="2143" spans="1:3" x14ac:dyDescent="0.25">
      <c r="A2143" s="6">
        <v>2908761</v>
      </c>
      <c r="B2143" s="6" t="s">
        <v>2918</v>
      </c>
      <c r="C2143" s="77">
        <v>22182</v>
      </c>
    </row>
    <row r="2144" spans="1:3" x14ac:dyDescent="0.25">
      <c r="A2144" s="6">
        <v>2908762</v>
      </c>
      <c r="B2144" s="6" t="s">
        <v>2311</v>
      </c>
      <c r="C2144" s="77">
        <v>78744</v>
      </c>
    </row>
    <row r="2145" spans="1:3" x14ac:dyDescent="0.25">
      <c r="A2145" s="6">
        <v>2908793</v>
      </c>
      <c r="B2145" s="6" t="s">
        <v>2312</v>
      </c>
      <c r="C2145" s="77">
        <v>259810</v>
      </c>
    </row>
    <row r="2146" spans="1:3" x14ac:dyDescent="0.25">
      <c r="A2146" s="6">
        <v>2908794</v>
      </c>
      <c r="B2146" s="6" t="s">
        <v>2313</v>
      </c>
      <c r="C2146" s="77">
        <v>512985</v>
      </c>
    </row>
    <row r="2147" spans="1:3" x14ac:dyDescent="0.25">
      <c r="A2147" s="6">
        <v>2908814</v>
      </c>
      <c r="B2147" s="6" t="s">
        <v>2314</v>
      </c>
      <c r="C2147" s="77">
        <v>21153</v>
      </c>
    </row>
    <row r="2148" spans="1:3" x14ac:dyDescent="0.25">
      <c r="A2148" s="6">
        <v>2908815</v>
      </c>
      <c r="B2148" s="6" t="s">
        <v>2315</v>
      </c>
      <c r="C2148" s="77">
        <v>35175</v>
      </c>
    </row>
    <row r="2149" spans="1:3" x14ac:dyDescent="0.25">
      <c r="A2149" s="6">
        <v>2908816</v>
      </c>
      <c r="B2149" s="6" t="s">
        <v>2316</v>
      </c>
      <c r="C2149" s="77">
        <v>64035</v>
      </c>
    </row>
    <row r="2150" spans="1:3" x14ac:dyDescent="0.25">
      <c r="A2150" s="6">
        <v>2908913</v>
      </c>
      <c r="B2150" s="6" t="s">
        <v>2919</v>
      </c>
      <c r="C2150" s="77">
        <v>65531</v>
      </c>
    </row>
    <row r="2151" spans="1:3" x14ac:dyDescent="0.25">
      <c r="A2151" s="6">
        <v>2909008</v>
      </c>
      <c r="B2151" s="6" t="s">
        <v>2317</v>
      </c>
      <c r="C2151" s="77">
        <v>746378</v>
      </c>
    </row>
    <row r="2152" spans="1:3" x14ac:dyDescent="0.25">
      <c r="A2152" s="6">
        <v>2909017</v>
      </c>
      <c r="B2152" s="6" t="s">
        <v>2318</v>
      </c>
      <c r="C2152" s="77">
        <v>626</v>
      </c>
    </row>
    <row r="2153" spans="1:3" x14ac:dyDescent="0.25">
      <c r="A2153" s="6">
        <v>2909069</v>
      </c>
      <c r="B2153" s="6" t="s">
        <v>2319</v>
      </c>
      <c r="C2153" s="77">
        <v>8227</v>
      </c>
    </row>
    <row r="2154" spans="1:3" x14ac:dyDescent="0.25">
      <c r="A2154" s="6">
        <v>2909085</v>
      </c>
      <c r="B2154" s="6" t="s">
        <v>2320</v>
      </c>
      <c r="C2154" s="77">
        <v>901961</v>
      </c>
    </row>
    <row r="2155" spans="1:3" x14ac:dyDescent="0.25">
      <c r="A2155" s="6">
        <v>2909092</v>
      </c>
      <c r="B2155" s="6" t="s">
        <v>2920</v>
      </c>
      <c r="C2155" s="77">
        <v>87729</v>
      </c>
    </row>
    <row r="2156" spans="1:3" x14ac:dyDescent="0.25">
      <c r="A2156" s="6">
        <v>2909093</v>
      </c>
      <c r="B2156" s="6" t="s">
        <v>2921</v>
      </c>
      <c r="C2156" s="77">
        <v>114721</v>
      </c>
    </row>
    <row r="2157" spans="1:3" x14ac:dyDescent="0.25">
      <c r="A2157" s="6">
        <v>2909094</v>
      </c>
      <c r="B2157" s="6" t="s">
        <v>2922</v>
      </c>
      <c r="C2157" s="77">
        <v>215347</v>
      </c>
    </row>
    <row r="2158" spans="1:3" x14ac:dyDescent="0.25">
      <c r="A2158" s="6">
        <v>2909095</v>
      </c>
      <c r="B2158" s="6" t="s">
        <v>2923</v>
      </c>
      <c r="C2158" s="77">
        <v>91593</v>
      </c>
    </row>
    <row r="2159" spans="1:3" x14ac:dyDescent="0.25">
      <c r="A2159" s="6">
        <v>2909096</v>
      </c>
      <c r="B2159" s="6" t="s">
        <v>2924</v>
      </c>
      <c r="C2159" s="77">
        <v>121332</v>
      </c>
    </row>
    <row r="2160" spans="1:3" x14ac:dyDescent="0.25">
      <c r="A2160" s="6">
        <v>2909097</v>
      </c>
      <c r="B2160" s="6" t="s">
        <v>2925</v>
      </c>
      <c r="C2160" s="77">
        <v>248099</v>
      </c>
    </row>
    <row r="2161" spans="1:3" x14ac:dyDescent="0.25">
      <c r="A2161" s="6">
        <v>2909098</v>
      </c>
      <c r="B2161" s="6" t="s">
        <v>2926</v>
      </c>
      <c r="C2161" s="77">
        <v>116974</v>
      </c>
    </row>
    <row r="2162" spans="1:3" x14ac:dyDescent="0.25">
      <c r="A2162" s="6">
        <v>2909099</v>
      </c>
      <c r="B2162" s="6" t="s">
        <v>2927</v>
      </c>
      <c r="C2162" s="77">
        <v>182596</v>
      </c>
    </row>
    <row r="2163" spans="1:3" x14ac:dyDescent="0.25">
      <c r="A2163" s="6">
        <v>2909113</v>
      </c>
      <c r="B2163" s="6" t="s">
        <v>2928</v>
      </c>
      <c r="C2163" s="77">
        <v>66640</v>
      </c>
    </row>
    <row r="2164" spans="1:3" x14ac:dyDescent="0.25">
      <c r="A2164" s="6">
        <v>2909114</v>
      </c>
      <c r="B2164" s="6" t="s">
        <v>2929</v>
      </c>
      <c r="C2164" s="77">
        <v>66640</v>
      </c>
    </row>
    <row r="2165" spans="1:3" x14ac:dyDescent="0.25">
      <c r="A2165" s="6">
        <v>2909115</v>
      </c>
      <c r="B2165" s="6" t="s">
        <v>2930</v>
      </c>
      <c r="C2165" s="77">
        <v>88854</v>
      </c>
    </row>
    <row r="2166" spans="1:3" x14ac:dyDescent="0.25">
      <c r="A2166" s="6">
        <v>2909116</v>
      </c>
      <c r="B2166" s="6" t="s">
        <v>2931</v>
      </c>
      <c r="C2166" s="77">
        <v>88854</v>
      </c>
    </row>
    <row r="2167" spans="1:3" x14ac:dyDescent="0.25">
      <c r="A2167" s="6">
        <v>2909117</v>
      </c>
      <c r="B2167" s="6" t="s">
        <v>2932</v>
      </c>
      <c r="C2167" s="77">
        <v>111067</v>
      </c>
    </row>
    <row r="2168" spans="1:3" x14ac:dyDescent="0.25">
      <c r="A2168" s="6">
        <v>2909118</v>
      </c>
      <c r="B2168" s="6" t="s">
        <v>2933</v>
      </c>
      <c r="C2168" s="77">
        <v>111067</v>
      </c>
    </row>
    <row r="2169" spans="1:3" x14ac:dyDescent="0.25">
      <c r="A2169" s="6">
        <v>2909119</v>
      </c>
      <c r="B2169" s="6" t="s">
        <v>2934</v>
      </c>
      <c r="C2169" s="77">
        <v>54505</v>
      </c>
    </row>
    <row r="2170" spans="1:3" x14ac:dyDescent="0.25">
      <c r="A2170" s="6">
        <v>2909120</v>
      </c>
      <c r="B2170" s="6" t="s">
        <v>2935</v>
      </c>
      <c r="C2170" s="77">
        <v>54505</v>
      </c>
    </row>
    <row r="2171" spans="1:3" x14ac:dyDescent="0.25">
      <c r="A2171" s="6">
        <v>2909121</v>
      </c>
      <c r="B2171" s="6" t="s">
        <v>2936</v>
      </c>
      <c r="C2171" s="77">
        <v>72673</v>
      </c>
    </row>
    <row r="2172" spans="1:3" x14ac:dyDescent="0.25">
      <c r="A2172" s="6">
        <v>2909122</v>
      </c>
      <c r="B2172" s="6" t="s">
        <v>2937</v>
      </c>
      <c r="C2172" s="77">
        <v>72673</v>
      </c>
    </row>
    <row r="2173" spans="1:3" x14ac:dyDescent="0.25">
      <c r="A2173" s="6">
        <v>2909123</v>
      </c>
      <c r="B2173" s="6" t="s">
        <v>2938</v>
      </c>
      <c r="C2173" s="77">
        <v>90842</v>
      </c>
    </row>
    <row r="2174" spans="1:3" x14ac:dyDescent="0.25">
      <c r="A2174" s="6">
        <v>2909124</v>
      </c>
      <c r="B2174" s="6" t="s">
        <v>2939</v>
      </c>
      <c r="C2174" s="77">
        <v>90842</v>
      </c>
    </row>
    <row r="2175" spans="1:3" x14ac:dyDescent="0.25">
      <c r="A2175" s="6">
        <v>2909144</v>
      </c>
      <c r="B2175" s="6" t="s">
        <v>2940</v>
      </c>
      <c r="C2175" s="77">
        <v>55817</v>
      </c>
    </row>
    <row r="2176" spans="1:3" x14ac:dyDescent="0.25">
      <c r="A2176" s="6">
        <v>2909145</v>
      </c>
      <c r="B2176" s="6" t="s">
        <v>2321</v>
      </c>
      <c r="C2176" s="77">
        <v>8494</v>
      </c>
    </row>
    <row r="2177" spans="1:3" x14ac:dyDescent="0.25">
      <c r="A2177" s="6">
        <v>2909147</v>
      </c>
      <c r="B2177" s="6" t="s">
        <v>2322</v>
      </c>
      <c r="C2177" s="77">
        <v>54133</v>
      </c>
    </row>
    <row r="2178" spans="1:3" x14ac:dyDescent="0.25">
      <c r="A2178" s="6">
        <v>2909148</v>
      </c>
      <c r="B2178" s="6" t="s">
        <v>2323</v>
      </c>
      <c r="C2178" s="77">
        <v>8472</v>
      </c>
    </row>
    <row r="2179" spans="1:3" x14ac:dyDescent="0.25">
      <c r="A2179" s="6">
        <v>2909149</v>
      </c>
      <c r="B2179" s="6" t="s">
        <v>2324</v>
      </c>
      <c r="C2179" s="77">
        <v>65398</v>
      </c>
    </row>
    <row r="2180" spans="1:3" x14ac:dyDescent="0.25">
      <c r="A2180" s="6">
        <v>2909150</v>
      </c>
      <c r="B2180" s="6" t="s">
        <v>2325</v>
      </c>
      <c r="C2180" s="77">
        <v>66144</v>
      </c>
    </row>
    <row r="2181" spans="1:3" x14ac:dyDescent="0.25">
      <c r="A2181" s="6">
        <v>2909151</v>
      </c>
      <c r="B2181" s="6" t="s">
        <v>2326</v>
      </c>
      <c r="C2181" s="77">
        <v>409949</v>
      </c>
    </row>
    <row r="2182" spans="1:3" x14ac:dyDescent="0.25">
      <c r="A2182" s="6">
        <v>2909153</v>
      </c>
      <c r="B2182" s="6" t="s">
        <v>2327</v>
      </c>
      <c r="C2182" s="77">
        <v>394695</v>
      </c>
    </row>
    <row r="2183" spans="1:3" x14ac:dyDescent="0.25">
      <c r="A2183" s="6">
        <v>2909174</v>
      </c>
      <c r="B2183" s="6" t="s">
        <v>2328</v>
      </c>
      <c r="C2183" s="77">
        <v>34885</v>
      </c>
    </row>
    <row r="2184" spans="1:3" x14ac:dyDescent="0.25">
      <c r="A2184" s="6">
        <v>2909232</v>
      </c>
      <c r="B2184" s="6" t="s">
        <v>2329</v>
      </c>
      <c r="C2184" s="77">
        <v>23856</v>
      </c>
    </row>
    <row r="2185" spans="1:3" x14ac:dyDescent="0.25">
      <c r="A2185" s="6">
        <v>2909348</v>
      </c>
      <c r="B2185" s="6" t="s">
        <v>2330</v>
      </c>
      <c r="C2185" s="77">
        <v>164096</v>
      </c>
    </row>
    <row r="2186" spans="1:3" x14ac:dyDescent="0.25">
      <c r="A2186" s="6">
        <v>2909408</v>
      </c>
      <c r="B2186" s="6" t="s">
        <v>2941</v>
      </c>
      <c r="C2186" s="77">
        <v>744932</v>
      </c>
    </row>
    <row r="2187" spans="1:3" x14ac:dyDescent="0.25">
      <c r="A2187" s="6">
        <v>2909411</v>
      </c>
      <c r="B2187" s="6" t="s">
        <v>2331</v>
      </c>
      <c r="C2187" s="77">
        <v>4238680</v>
      </c>
    </row>
    <row r="2188" spans="1:3" x14ac:dyDescent="0.25">
      <c r="A2188" s="6">
        <v>2909412</v>
      </c>
      <c r="B2188" s="6" t="s">
        <v>2332</v>
      </c>
      <c r="C2188" s="77">
        <v>4718968</v>
      </c>
    </row>
    <row r="2189" spans="1:3" x14ac:dyDescent="0.25">
      <c r="A2189" s="6">
        <v>2909413</v>
      </c>
      <c r="B2189" s="6" t="s">
        <v>2333</v>
      </c>
      <c r="C2189" s="77">
        <v>5713687</v>
      </c>
    </row>
    <row r="2190" spans="1:3" x14ac:dyDescent="0.25">
      <c r="A2190" s="6">
        <v>2909414</v>
      </c>
      <c r="B2190" s="6" t="s">
        <v>2334</v>
      </c>
      <c r="C2190" s="77">
        <v>8867778</v>
      </c>
    </row>
    <row r="2191" spans="1:3" x14ac:dyDescent="0.25">
      <c r="A2191" s="6">
        <v>2909470</v>
      </c>
      <c r="B2191" s="6" t="s">
        <v>2335</v>
      </c>
      <c r="C2191" s="77">
        <v>604522</v>
      </c>
    </row>
    <row r="2192" spans="1:3" x14ac:dyDescent="0.25">
      <c r="A2192" s="6">
        <v>2909471</v>
      </c>
      <c r="B2192" s="6" t="s">
        <v>2336</v>
      </c>
      <c r="C2192" s="77">
        <v>494145</v>
      </c>
    </row>
    <row r="2193" spans="1:3" x14ac:dyDescent="0.25">
      <c r="A2193" s="6">
        <v>2909472</v>
      </c>
      <c r="B2193" s="6" t="s">
        <v>2942</v>
      </c>
      <c r="C2193" s="77">
        <v>418866</v>
      </c>
    </row>
    <row r="2194" spans="1:3" x14ac:dyDescent="0.25">
      <c r="A2194" s="6">
        <v>2909473</v>
      </c>
      <c r="B2194" s="6" t="s">
        <v>2337</v>
      </c>
      <c r="C2194" s="77">
        <v>20924</v>
      </c>
    </row>
    <row r="2195" spans="1:3" x14ac:dyDescent="0.25">
      <c r="A2195" s="6">
        <v>2909474</v>
      </c>
      <c r="B2195" s="6" t="s">
        <v>2338</v>
      </c>
      <c r="C2195" s="77">
        <v>29898</v>
      </c>
    </row>
    <row r="2196" spans="1:3" x14ac:dyDescent="0.25">
      <c r="A2196" s="6">
        <v>2909475</v>
      </c>
      <c r="B2196" s="6" t="s">
        <v>2339</v>
      </c>
      <c r="C2196" s="77">
        <v>13429</v>
      </c>
    </row>
    <row r="2197" spans="1:3" x14ac:dyDescent="0.25">
      <c r="A2197" s="6">
        <v>2909476</v>
      </c>
      <c r="B2197" s="6" t="s">
        <v>2340</v>
      </c>
      <c r="C2197" s="77">
        <v>17433</v>
      </c>
    </row>
    <row r="2198" spans="1:3" x14ac:dyDescent="0.25">
      <c r="A2198" s="6">
        <v>2909477</v>
      </c>
      <c r="B2198" s="6" t="s">
        <v>2341</v>
      </c>
      <c r="C2198" s="77">
        <v>20396</v>
      </c>
    </row>
    <row r="2199" spans="1:3" x14ac:dyDescent="0.25">
      <c r="A2199" s="6">
        <v>2909478</v>
      </c>
      <c r="B2199" s="6" t="s">
        <v>2342</v>
      </c>
      <c r="C2199" s="77">
        <v>33080</v>
      </c>
    </row>
    <row r="2200" spans="1:3" x14ac:dyDescent="0.25">
      <c r="A2200" s="6">
        <v>2909479</v>
      </c>
      <c r="B2200" s="6" t="s">
        <v>2343</v>
      </c>
      <c r="C2200" s="77">
        <v>13799</v>
      </c>
    </row>
    <row r="2201" spans="1:3" x14ac:dyDescent="0.25">
      <c r="A2201" s="6">
        <v>2909480</v>
      </c>
      <c r="B2201" s="6" t="s">
        <v>2344</v>
      </c>
      <c r="C2201" s="77">
        <v>8583</v>
      </c>
    </row>
    <row r="2202" spans="1:3" x14ac:dyDescent="0.25">
      <c r="A2202" s="6">
        <v>2909481</v>
      </c>
      <c r="B2202" s="6" t="s">
        <v>2345</v>
      </c>
      <c r="C2202" s="77">
        <v>10842</v>
      </c>
    </row>
    <row r="2203" spans="1:3" x14ac:dyDescent="0.25">
      <c r="A2203" s="6">
        <v>2909482</v>
      </c>
      <c r="B2203" s="6" t="s">
        <v>2346</v>
      </c>
      <c r="C2203" s="77">
        <v>4959</v>
      </c>
    </row>
    <row r="2204" spans="1:3" x14ac:dyDescent="0.25">
      <c r="A2204" s="6">
        <v>2909483</v>
      </c>
      <c r="B2204" s="6" t="s">
        <v>2347</v>
      </c>
      <c r="C2204" s="77">
        <v>8481</v>
      </c>
    </row>
    <row r="2205" spans="1:3" x14ac:dyDescent="0.25">
      <c r="A2205" s="6">
        <v>2909484</v>
      </c>
      <c r="B2205" s="6" t="s">
        <v>2348</v>
      </c>
      <c r="C2205" s="77">
        <v>25031</v>
      </c>
    </row>
    <row r="2206" spans="1:3" x14ac:dyDescent="0.25">
      <c r="A2206" s="6">
        <v>2909485</v>
      </c>
      <c r="B2206" s="6" t="s">
        <v>2349</v>
      </c>
      <c r="C2206" s="77">
        <v>20862</v>
      </c>
    </row>
    <row r="2207" spans="1:3" x14ac:dyDescent="0.25">
      <c r="A2207" s="6">
        <v>2909486</v>
      </c>
      <c r="B2207" s="6" t="s">
        <v>2350</v>
      </c>
      <c r="C2207" s="77">
        <v>16427</v>
      </c>
    </row>
    <row r="2208" spans="1:3" x14ac:dyDescent="0.25">
      <c r="A2208" s="6">
        <v>2909487</v>
      </c>
      <c r="B2208" s="6" t="s">
        <v>2351</v>
      </c>
      <c r="C2208" s="77">
        <v>619</v>
      </c>
    </row>
    <row r="2209" spans="1:3" x14ac:dyDescent="0.25">
      <c r="A2209" s="6">
        <v>2909488</v>
      </c>
      <c r="B2209" s="6" t="s">
        <v>2352</v>
      </c>
      <c r="C2209" s="77">
        <v>949</v>
      </c>
    </row>
    <row r="2210" spans="1:3" x14ac:dyDescent="0.25">
      <c r="A2210" s="6">
        <v>2909489</v>
      </c>
      <c r="B2210" s="6" t="s">
        <v>2353</v>
      </c>
      <c r="C2210" s="77">
        <v>1724</v>
      </c>
    </row>
    <row r="2211" spans="1:3" x14ac:dyDescent="0.25">
      <c r="A2211" s="6">
        <v>2909490</v>
      </c>
      <c r="B2211" s="6" t="s">
        <v>2354</v>
      </c>
      <c r="C2211" s="77">
        <v>34701</v>
      </c>
    </row>
    <row r="2212" spans="1:3" x14ac:dyDescent="0.25">
      <c r="A2212" s="6">
        <v>2909491</v>
      </c>
      <c r="B2212" s="6" t="s">
        <v>2355</v>
      </c>
      <c r="C2212" s="77">
        <v>41314</v>
      </c>
    </row>
    <row r="2213" spans="1:3" x14ac:dyDescent="0.25">
      <c r="A2213" s="6">
        <v>2909492</v>
      </c>
      <c r="B2213" s="6" t="s">
        <v>2356</v>
      </c>
      <c r="C2213" s="77">
        <v>4352</v>
      </c>
    </row>
    <row r="2214" spans="1:3" x14ac:dyDescent="0.25">
      <c r="A2214" s="6">
        <v>2909493</v>
      </c>
      <c r="B2214" s="6" t="s">
        <v>2357</v>
      </c>
      <c r="C2214" s="77">
        <v>14435</v>
      </c>
    </row>
    <row r="2215" spans="1:3" x14ac:dyDescent="0.25">
      <c r="A2215" s="6">
        <v>2909494</v>
      </c>
      <c r="B2215" s="6" t="s">
        <v>2358</v>
      </c>
      <c r="C2215" s="77">
        <v>5832</v>
      </c>
    </row>
    <row r="2216" spans="1:3" x14ac:dyDescent="0.25">
      <c r="A2216" s="6">
        <v>2909495</v>
      </c>
      <c r="B2216" s="6" t="s">
        <v>2359</v>
      </c>
      <c r="C2216" s="77">
        <v>10595</v>
      </c>
    </row>
    <row r="2217" spans="1:3" x14ac:dyDescent="0.25">
      <c r="A2217" s="6">
        <v>2909496</v>
      </c>
      <c r="B2217" s="6" t="s">
        <v>2360</v>
      </c>
      <c r="C2217" s="77">
        <v>16098</v>
      </c>
    </row>
    <row r="2218" spans="1:3" x14ac:dyDescent="0.25">
      <c r="A2218" s="6">
        <v>2909497</v>
      </c>
      <c r="B2218" s="6" t="s">
        <v>2361</v>
      </c>
      <c r="C2218" s="77">
        <v>19834</v>
      </c>
    </row>
    <row r="2219" spans="1:3" x14ac:dyDescent="0.25">
      <c r="A2219" s="6">
        <v>2909498</v>
      </c>
      <c r="B2219" s="6" t="s">
        <v>2362</v>
      </c>
      <c r="C2219" s="77">
        <v>11917</v>
      </c>
    </row>
    <row r="2220" spans="1:3" x14ac:dyDescent="0.25">
      <c r="A2220" s="6">
        <v>2909499</v>
      </c>
      <c r="B2220" s="6" t="s">
        <v>2363</v>
      </c>
      <c r="C2220" s="77">
        <v>13209</v>
      </c>
    </row>
    <row r="2221" spans="1:3" x14ac:dyDescent="0.25">
      <c r="A2221" s="6">
        <v>2909500</v>
      </c>
      <c r="B2221" s="6" t="s">
        <v>2364</v>
      </c>
      <c r="C2221" s="77">
        <v>32115</v>
      </c>
    </row>
    <row r="2222" spans="1:3" x14ac:dyDescent="0.25">
      <c r="A2222" s="6">
        <v>2909501</v>
      </c>
      <c r="B2222" s="6" t="s">
        <v>2365</v>
      </c>
      <c r="C2222" s="77">
        <v>13878</v>
      </c>
    </row>
    <row r="2223" spans="1:3" x14ac:dyDescent="0.25">
      <c r="A2223" s="6">
        <v>2909502</v>
      </c>
      <c r="B2223" s="6" t="s">
        <v>2366</v>
      </c>
      <c r="C2223" s="77">
        <v>32813</v>
      </c>
    </row>
    <row r="2224" spans="1:3" x14ac:dyDescent="0.25">
      <c r="A2224" s="6">
        <v>2909503</v>
      </c>
      <c r="B2224" s="6" t="s">
        <v>2367</v>
      </c>
      <c r="C2224" s="77">
        <v>33388</v>
      </c>
    </row>
    <row r="2225" spans="1:3" x14ac:dyDescent="0.25">
      <c r="A2225" s="6">
        <v>2909504</v>
      </c>
      <c r="B2225" s="6" t="s">
        <v>2368</v>
      </c>
      <c r="C2225" s="77">
        <v>33059</v>
      </c>
    </row>
    <row r="2226" spans="1:3" x14ac:dyDescent="0.25">
      <c r="A2226" s="6">
        <v>2909505</v>
      </c>
      <c r="B2226" s="6" t="s">
        <v>2369</v>
      </c>
      <c r="C2226" s="77">
        <v>7856</v>
      </c>
    </row>
    <row r="2227" spans="1:3" x14ac:dyDescent="0.25">
      <c r="A2227" s="6">
        <v>2909506</v>
      </c>
      <c r="B2227" s="6" t="s">
        <v>2370</v>
      </c>
      <c r="C2227" s="77">
        <v>12973</v>
      </c>
    </row>
    <row r="2228" spans="1:3" x14ac:dyDescent="0.25">
      <c r="A2228" s="6">
        <v>2909507</v>
      </c>
      <c r="B2228" s="6" t="s">
        <v>2371</v>
      </c>
      <c r="C2228" s="77">
        <v>39015</v>
      </c>
    </row>
    <row r="2229" spans="1:3" x14ac:dyDescent="0.25">
      <c r="A2229" s="6">
        <v>2909508</v>
      </c>
      <c r="B2229" s="6" t="s">
        <v>2372</v>
      </c>
      <c r="C2229" s="77">
        <v>4864</v>
      </c>
    </row>
    <row r="2230" spans="1:3" x14ac:dyDescent="0.25">
      <c r="A2230" s="6">
        <v>2909509</v>
      </c>
      <c r="B2230" s="6" t="s">
        <v>2373</v>
      </c>
      <c r="C2230" s="77">
        <v>8232</v>
      </c>
    </row>
    <row r="2231" spans="1:3" x14ac:dyDescent="0.25">
      <c r="A2231" s="6">
        <v>2909510</v>
      </c>
      <c r="B2231" s="6" t="s">
        <v>2374</v>
      </c>
      <c r="C2231" s="77">
        <v>25666</v>
      </c>
    </row>
    <row r="2232" spans="1:3" x14ac:dyDescent="0.25">
      <c r="A2232" s="6">
        <v>2909511</v>
      </c>
      <c r="B2232" s="6" t="s">
        <v>2375</v>
      </c>
      <c r="C2232" s="77">
        <v>67720</v>
      </c>
    </row>
    <row r="2233" spans="1:3" x14ac:dyDescent="0.25">
      <c r="A2233" s="6">
        <v>2909512</v>
      </c>
      <c r="B2233" s="6" t="s">
        <v>2376</v>
      </c>
      <c r="C2233" s="77">
        <v>111128</v>
      </c>
    </row>
    <row r="2234" spans="1:3" x14ac:dyDescent="0.25">
      <c r="A2234" s="6">
        <v>2909513</v>
      </c>
      <c r="B2234" s="6" t="s">
        <v>2377</v>
      </c>
      <c r="C2234" s="77">
        <v>152360</v>
      </c>
    </row>
    <row r="2235" spans="1:3" x14ac:dyDescent="0.25">
      <c r="A2235" s="6">
        <v>2909514</v>
      </c>
      <c r="B2235" s="6" t="s">
        <v>2378</v>
      </c>
      <c r="C2235" s="77">
        <v>2226</v>
      </c>
    </row>
    <row r="2236" spans="1:3" x14ac:dyDescent="0.25">
      <c r="A2236" s="6">
        <v>2909515</v>
      </c>
      <c r="B2236" s="6" t="s">
        <v>2379</v>
      </c>
      <c r="C2236" s="77">
        <v>2481</v>
      </c>
    </row>
    <row r="2237" spans="1:3" x14ac:dyDescent="0.25">
      <c r="A2237" s="6">
        <v>2909516</v>
      </c>
      <c r="B2237" s="6" t="s">
        <v>2380</v>
      </c>
      <c r="C2237" s="77">
        <v>2567</v>
      </c>
    </row>
    <row r="2238" spans="1:3" x14ac:dyDescent="0.25">
      <c r="A2238" s="6">
        <v>2909517</v>
      </c>
      <c r="B2238" s="6" t="s">
        <v>2381</v>
      </c>
      <c r="C2238" s="77">
        <v>7667</v>
      </c>
    </row>
    <row r="2239" spans="1:3" x14ac:dyDescent="0.25">
      <c r="A2239" s="6">
        <v>2909518</v>
      </c>
      <c r="B2239" s="6" t="s">
        <v>2382</v>
      </c>
      <c r="C2239" s="77">
        <v>11808</v>
      </c>
    </row>
    <row r="2240" spans="1:3" x14ac:dyDescent="0.25">
      <c r="A2240" s="6">
        <v>2909519</v>
      </c>
      <c r="B2240" s="6" t="s">
        <v>2383</v>
      </c>
      <c r="C2240" s="77">
        <v>64066</v>
      </c>
    </row>
    <row r="2241" spans="1:3" x14ac:dyDescent="0.25">
      <c r="A2241" s="6">
        <v>2909521</v>
      </c>
      <c r="B2241" s="6" t="s">
        <v>2943</v>
      </c>
      <c r="C2241" s="77">
        <v>44588</v>
      </c>
    </row>
    <row r="2242" spans="1:3" x14ac:dyDescent="0.25">
      <c r="A2242" s="6">
        <v>2909522</v>
      </c>
      <c r="B2242" s="6" t="s">
        <v>2944</v>
      </c>
      <c r="C2242" s="77">
        <v>59451</v>
      </c>
    </row>
    <row r="2243" spans="1:3" x14ac:dyDescent="0.25">
      <c r="A2243" s="6">
        <v>2909523</v>
      </c>
      <c r="B2243" s="6" t="s">
        <v>2945</v>
      </c>
      <c r="C2243" s="77">
        <v>74315</v>
      </c>
    </row>
    <row r="2244" spans="1:3" x14ac:dyDescent="0.25">
      <c r="A2244" s="6">
        <v>2909531</v>
      </c>
      <c r="B2244" s="6" t="s">
        <v>2384</v>
      </c>
      <c r="C2244" s="77">
        <v>104430</v>
      </c>
    </row>
    <row r="2245" spans="1:3" x14ac:dyDescent="0.25">
      <c r="A2245" s="6">
        <v>2909554</v>
      </c>
      <c r="B2245" s="6" t="s">
        <v>2385</v>
      </c>
      <c r="C2245" s="77">
        <v>115693</v>
      </c>
    </row>
    <row r="2246" spans="1:3" x14ac:dyDescent="0.25">
      <c r="A2246" s="6">
        <v>2909556</v>
      </c>
      <c r="B2246" s="6" t="s">
        <v>2386</v>
      </c>
      <c r="C2246" s="77">
        <v>10163</v>
      </c>
    </row>
    <row r="2247" spans="1:3" x14ac:dyDescent="0.25">
      <c r="A2247" s="6">
        <v>2909557</v>
      </c>
      <c r="B2247" s="6" t="s">
        <v>2387</v>
      </c>
      <c r="C2247" s="77">
        <v>13133</v>
      </c>
    </row>
    <row r="2248" spans="1:3" x14ac:dyDescent="0.25">
      <c r="A2248" s="6">
        <v>2909591</v>
      </c>
      <c r="B2248" s="6" t="s">
        <v>2388</v>
      </c>
      <c r="C2248" s="77">
        <v>20822</v>
      </c>
    </row>
    <row r="2249" spans="1:3" x14ac:dyDescent="0.25">
      <c r="A2249" s="6">
        <v>2909592</v>
      </c>
      <c r="B2249" s="6" t="s">
        <v>2389</v>
      </c>
      <c r="C2249" s="77">
        <v>13861</v>
      </c>
    </row>
    <row r="2250" spans="1:3" x14ac:dyDescent="0.25">
      <c r="A2250" s="6">
        <v>2909593</v>
      </c>
      <c r="B2250" s="6" t="s">
        <v>2390</v>
      </c>
      <c r="C2250" s="77">
        <v>16143</v>
      </c>
    </row>
    <row r="2251" spans="1:3" x14ac:dyDescent="0.25">
      <c r="A2251" s="6">
        <v>2909594</v>
      </c>
      <c r="B2251" s="6" t="s">
        <v>2391</v>
      </c>
      <c r="C2251" s="77">
        <v>4545</v>
      </c>
    </row>
    <row r="2252" spans="1:3" x14ac:dyDescent="0.25">
      <c r="A2252" s="6">
        <v>2909595</v>
      </c>
      <c r="B2252" s="6" t="s">
        <v>2392</v>
      </c>
      <c r="C2252" s="77">
        <v>9818</v>
      </c>
    </row>
    <row r="2253" spans="1:3" x14ac:dyDescent="0.25">
      <c r="A2253" s="6">
        <v>2909596</v>
      </c>
      <c r="B2253" s="6" t="s">
        <v>2393</v>
      </c>
      <c r="C2253" s="77">
        <v>30624</v>
      </c>
    </row>
    <row r="2254" spans="1:3" x14ac:dyDescent="0.25">
      <c r="A2254" s="6">
        <v>2909615</v>
      </c>
      <c r="B2254" s="6" t="s">
        <v>2946</v>
      </c>
      <c r="C2254" s="77">
        <v>166511</v>
      </c>
    </row>
    <row r="2255" spans="1:3" x14ac:dyDescent="0.25">
      <c r="A2255" s="6">
        <v>2909618</v>
      </c>
      <c r="B2255" s="6" t="s">
        <v>2947</v>
      </c>
      <c r="C2255" s="77">
        <v>44428</v>
      </c>
    </row>
    <row r="2256" spans="1:3" x14ac:dyDescent="0.25">
      <c r="A2256" s="6">
        <v>2909619</v>
      </c>
      <c r="B2256" s="6" t="s">
        <v>2948</v>
      </c>
      <c r="C2256" s="77">
        <v>44428</v>
      </c>
    </row>
    <row r="2257" spans="1:3" x14ac:dyDescent="0.25">
      <c r="A2257" s="6">
        <v>2909662</v>
      </c>
      <c r="B2257" s="6" t="s">
        <v>2394</v>
      </c>
      <c r="C2257" s="77">
        <v>768</v>
      </c>
    </row>
    <row r="2258" spans="1:3" x14ac:dyDescent="0.25">
      <c r="A2258" s="6">
        <v>2909663</v>
      </c>
      <c r="B2258" s="6" t="s">
        <v>2395</v>
      </c>
      <c r="C2258" s="77">
        <v>1017</v>
      </c>
    </row>
    <row r="2259" spans="1:3" x14ac:dyDescent="0.25">
      <c r="A2259" s="6">
        <v>2909664</v>
      </c>
      <c r="B2259" s="6" t="s">
        <v>2396</v>
      </c>
      <c r="C2259" s="77">
        <v>1908</v>
      </c>
    </row>
    <row r="2260" spans="1:3" x14ac:dyDescent="0.25">
      <c r="A2260" s="6">
        <v>2909665</v>
      </c>
      <c r="B2260" s="6" t="s">
        <v>2397</v>
      </c>
      <c r="C2260" s="77">
        <v>4602</v>
      </c>
    </row>
    <row r="2261" spans="1:3" x14ac:dyDescent="0.25">
      <c r="A2261" s="6">
        <v>2909666</v>
      </c>
      <c r="B2261" s="6" t="s">
        <v>2398</v>
      </c>
      <c r="C2261" s="77">
        <v>5390</v>
      </c>
    </row>
    <row r="2262" spans="1:3" x14ac:dyDescent="0.25">
      <c r="A2262" s="6">
        <v>2909667</v>
      </c>
      <c r="B2262" s="6" t="s">
        <v>2399</v>
      </c>
      <c r="C2262" s="77">
        <v>7813</v>
      </c>
    </row>
    <row r="2263" spans="1:3" x14ac:dyDescent="0.25">
      <c r="A2263" s="6">
        <v>2909668</v>
      </c>
      <c r="B2263" s="6" t="s">
        <v>2400</v>
      </c>
      <c r="C2263" s="77">
        <v>536</v>
      </c>
    </row>
    <row r="2264" spans="1:3" x14ac:dyDescent="0.25">
      <c r="A2264" s="6">
        <v>2909669</v>
      </c>
      <c r="B2264" s="6" t="s">
        <v>2401</v>
      </c>
      <c r="C2264" s="77">
        <v>1116</v>
      </c>
    </row>
    <row r="2265" spans="1:3" x14ac:dyDescent="0.25">
      <c r="A2265" s="6">
        <v>2909670</v>
      </c>
      <c r="B2265" s="6" t="s">
        <v>2402</v>
      </c>
      <c r="C2265" s="77">
        <v>1817</v>
      </c>
    </row>
    <row r="2266" spans="1:3" x14ac:dyDescent="0.25">
      <c r="A2266" s="6">
        <v>2909671</v>
      </c>
      <c r="B2266" s="6" t="s">
        <v>2403</v>
      </c>
      <c r="C2266" s="77">
        <v>4602</v>
      </c>
    </row>
    <row r="2267" spans="1:3" x14ac:dyDescent="0.25">
      <c r="A2267" s="6">
        <v>2909672</v>
      </c>
      <c r="B2267" s="6" t="s">
        <v>2404</v>
      </c>
      <c r="C2267" s="77">
        <v>5390</v>
      </c>
    </row>
    <row r="2268" spans="1:3" x14ac:dyDescent="0.25">
      <c r="A2268" s="6">
        <v>2909673</v>
      </c>
      <c r="B2268" s="6" t="s">
        <v>2405</v>
      </c>
      <c r="C2268" s="77">
        <v>7813</v>
      </c>
    </row>
    <row r="2269" spans="1:3" x14ac:dyDescent="0.25">
      <c r="A2269" s="6">
        <v>2909692</v>
      </c>
      <c r="B2269" s="6" t="s">
        <v>2406</v>
      </c>
      <c r="C2269" s="77">
        <v>43412</v>
      </c>
    </row>
    <row r="2270" spans="1:3" x14ac:dyDescent="0.25">
      <c r="A2270" s="6">
        <v>2909741</v>
      </c>
      <c r="B2270" s="6" t="s">
        <v>2407</v>
      </c>
      <c r="C2270" s="77">
        <v>6585782</v>
      </c>
    </row>
    <row r="2271" spans="1:3" x14ac:dyDescent="0.25">
      <c r="A2271" s="6">
        <v>2909761</v>
      </c>
      <c r="B2271" s="6" t="s">
        <v>2949</v>
      </c>
      <c r="C2271" s="77">
        <v>1351770</v>
      </c>
    </row>
    <row r="2272" spans="1:3" x14ac:dyDescent="0.25">
      <c r="A2272" s="6">
        <v>2909762</v>
      </c>
      <c r="B2272" s="6" t="s">
        <v>2408</v>
      </c>
      <c r="C2272" s="77">
        <v>1184700</v>
      </c>
    </row>
    <row r="2273" spans="1:3" x14ac:dyDescent="0.25">
      <c r="A2273" s="6">
        <v>2909775</v>
      </c>
      <c r="B2273" s="6" t="s">
        <v>2409</v>
      </c>
      <c r="C2273" s="77">
        <v>116297</v>
      </c>
    </row>
    <row r="2274" spans="1:3" x14ac:dyDescent="0.25">
      <c r="A2274" s="6">
        <v>2909776</v>
      </c>
      <c r="B2274" s="6" t="s">
        <v>2410</v>
      </c>
      <c r="C2274" s="77">
        <v>165423</v>
      </c>
    </row>
    <row r="2275" spans="1:3" x14ac:dyDescent="0.25">
      <c r="A2275" s="6">
        <v>2909777</v>
      </c>
      <c r="B2275" s="6" t="s">
        <v>2411</v>
      </c>
      <c r="C2275" s="77">
        <v>184149</v>
      </c>
    </row>
    <row r="2276" spans="1:3" x14ac:dyDescent="0.25">
      <c r="A2276" s="6">
        <v>2909778</v>
      </c>
      <c r="B2276" s="6" t="s">
        <v>2412</v>
      </c>
      <c r="C2276" s="77">
        <v>99377</v>
      </c>
    </row>
    <row r="2277" spans="1:3" x14ac:dyDescent="0.25">
      <c r="A2277" s="6">
        <v>2909789</v>
      </c>
      <c r="B2277" s="6" t="s">
        <v>2413</v>
      </c>
      <c r="C2277" s="77">
        <v>118493</v>
      </c>
    </row>
    <row r="2278" spans="1:3" x14ac:dyDescent="0.25">
      <c r="A2278" s="6">
        <v>2909790</v>
      </c>
      <c r="B2278" s="6" t="s">
        <v>2414</v>
      </c>
      <c r="C2278" s="77">
        <v>225600</v>
      </c>
    </row>
    <row r="2279" spans="1:3" x14ac:dyDescent="0.25">
      <c r="A2279" s="6">
        <v>2909791</v>
      </c>
      <c r="B2279" s="6" t="s">
        <v>2415</v>
      </c>
      <c r="C2279" s="77">
        <v>187727</v>
      </c>
    </row>
    <row r="2280" spans="1:3" x14ac:dyDescent="0.25">
      <c r="A2280" s="6">
        <v>2909792</v>
      </c>
      <c r="B2280" s="6" t="s">
        <v>2416</v>
      </c>
      <c r="C2280" s="77">
        <v>382618</v>
      </c>
    </row>
    <row r="2281" spans="1:3" x14ac:dyDescent="0.25">
      <c r="A2281" s="6">
        <v>2909793</v>
      </c>
      <c r="B2281" s="6" t="s">
        <v>2417</v>
      </c>
      <c r="C2281" s="77">
        <v>323994</v>
      </c>
    </row>
    <row r="2282" spans="1:3" x14ac:dyDescent="0.25">
      <c r="A2282" s="6">
        <v>2909794</v>
      </c>
      <c r="B2282" s="6" t="s">
        <v>2418</v>
      </c>
      <c r="C2282" s="77">
        <v>148532</v>
      </c>
    </row>
    <row r="2283" spans="1:3" x14ac:dyDescent="0.25">
      <c r="A2283" s="6">
        <v>2909799</v>
      </c>
      <c r="B2283" s="6" t="s">
        <v>2419</v>
      </c>
      <c r="C2283" s="77">
        <v>2890</v>
      </c>
    </row>
    <row r="2284" spans="1:3" x14ac:dyDescent="0.25">
      <c r="A2284" s="6">
        <v>2909800</v>
      </c>
      <c r="B2284" s="6" t="s">
        <v>2420</v>
      </c>
      <c r="C2284" s="77">
        <v>1952</v>
      </c>
    </row>
    <row r="2285" spans="1:3" x14ac:dyDescent="0.25">
      <c r="A2285" s="6">
        <v>2909808</v>
      </c>
      <c r="B2285" s="6" t="s">
        <v>2950</v>
      </c>
      <c r="C2285" s="77">
        <v>725737</v>
      </c>
    </row>
    <row r="2286" spans="1:3" x14ac:dyDescent="0.25">
      <c r="A2286" s="6">
        <v>2909811</v>
      </c>
      <c r="B2286" s="6" t="s">
        <v>2951</v>
      </c>
      <c r="C2286" s="77">
        <v>13302921</v>
      </c>
    </row>
    <row r="2287" spans="1:3" x14ac:dyDescent="0.25">
      <c r="A2287" s="6">
        <v>2909909</v>
      </c>
      <c r="B2287" s="6" t="s">
        <v>2421</v>
      </c>
      <c r="C2287" s="77">
        <v>62057</v>
      </c>
    </row>
    <row r="2288" spans="1:3" x14ac:dyDescent="0.25">
      <c r="A2288" s="6">
        <v>2909910</v>
      </c>
      <c r="B2288" s="6" t="s">
        <v>2422</v>
      </c>
      <c r="C2288" s="77">
        <v>118842</v>
      </c>
    </row>
    <row r="2289" spans="1:3" x14ac:dyDescent="0.25">
      <c r="A2289" s="6">
        <v>2909911</v>
      </c>
      <c r="B2289" s="6" t="s">
        <v>2952</v>
      </c>
      <c r="C2289" s="77">
        <v>62057</v>
      </c>
    </row>
    <row r="2290" spans="1:3" x14ac:dyDescent="0.25">
      <c r="A2290" s="6">
        <v>2909912</v>
      </c>
      <c r="B2290" s="6" t="s">
        <v>2953</v>
      </c>
      <c r="C2290" s="77">
        <v>128766</v>
      </c>
    </row>
    <row r="2291" spans="1:3" x14ac:dyDescent="0.25">
      <c r="A2291" s="6">
        <v>2909913</v>
      </c>
      <c r="B2291" s="6" t="s">
        <v>2954</v>
      </c>
      <c r="C2291" s="77">
        <v>362337</v>
      </c>
    </row>
    <row r="2292" spans="1:3" x14ac:dyDescent="0.25">
      <c r="A2292" s="6">
        <v>2909921</v>
      </c>
      <c r="B2292" s="6" t="s">
        <v>2423</v>
      </c>
      <c r="C2292" s="77">
        <v>111970</v>
      </c>
    </row>
    <row r="2293" spans="1:3" x14ac:dyDescent="0.25">
      <c r="A2293" s="6">
        <v>2909922</v>
      </c>
      <c r="B2293" s="6" t="s">
        <v>2424</v>
      </c>
      <c r="C2293" s="77">
        <v>62416</v>
      </c>
    </row>
    <row r="2294" spans="1:3" x14ac:dyDescent="0.25">
      <c r="A2294" s="6">
        <v>2909923</v>
      </c>
      <c r="B2294" s="6" t="s">
        <v>2425</v>
      </c>
      <c r="C2294" s="77">
        <v>37670</v>
      </c>
    </row>
    <row r="2295" spans="1:3" x14ac:dyDescent="0.25">
      <c r="A2295" s="6">
        <v>2909929</v>
      </c>
      <c r="B2295" s="6" t="s">
        <v>2426</v>
      </c>
      <c r="C2295" s="77">
        <v>93426</v>
      </c>
    </row>
    <row r="2296" spans="1:3" x14ac:dyDescent="0.25">
      <c r="A2296" s="6">
        <v>2909930</v>
      </c>
      <c r="B2296" s="6" t="s">
        <v>2427</v>
      </c>
      <c r="C2296" s="77">
        <v>91187</v>
      </c>
    </row>
    <row r="2297" spans="1:3" x14ac:dyDescent="0.25">
      <c r="A2297" s="6">
        <v>2909931</v>
      </c>
      <c r="B2297" s="6" t="s">
        <v>2428</v>
      </c>
      <c r="C2297" s="77">
        <v>5589</v>
      </c>
    </row>
    <row r="2298" spans="1:3" x14ac:dyDescent="0.25">
      <c r="A2298" s="6">
        <v>2909932</v>
      </c>
      <c r="B2298" s="6" t="s">
        <v>2429</v>
      </c>
      <c r="C2298" s="77">
        <v>5270</v>
      </c>
    </row>
    <row r="2299" spans="1:3" x14ac:dyDescent="0.25">
      <c r="A2299" s="6">
        <v>2909933</v>
      </c>
      <c r="B2299" s="6" t="s">
        <v>2430</v>
      </c>
      <c r="C2299" s="77">
        <v>18366</v>
      </c>
    </row>
    <row r="2300" spans="1:3" x14ac:dyDescent="0.25">
      <c r="A2300" s="6">
        <v>2909934</v>
      </c>
      <c r="B2300" s="6" t="s">
        <v>2431</v>
      </c>
      <c r="C2300" s="77">
        <v>42481</v>
      </c>
    </row>
    <row r="2301" spans="1:3" x14ac:dyDescent="0.25">
      <c r="A2301" s="6">
        <v>2909935</v>
      </c>
      <c r="B2301" s="6" t="s">
        <v>2432</v>
      </c>
      <c r="C2301" s="77">
        <v>26351</v>
      </c>
    </row>
    <row r="2302" spans="1:3" x14ac:dyDescent="0.25">
      <c r="A2302" s="6">
        <v>2909936</v>
      </c>
      <c r="B2302" s="6" t="s">
        <v>2433</v>
      </c>
      <c r="C2302" s="77">
        <v>19165</v>
      </c>
    </row>
    <row r="2303" spans="1:3" x14ac:dyDescent="0.25">
      <c r="A2303" s="6">
        <v>2909937</v>
      </c>
      <c r="B2303" s="6" t="s">
        <v>2434</v>
      </c>
      <c r="C2303" s="77">
        <v>24753</v>
      </c>
    </row>
    <row r="2304" spans="1:3" x14ac:dyDescent="0.25">
      <c r="A2304" s="6">
        <v>2909938</v>
      </c>
      <c r="B2304" s="6" t="s">
        <v>2435</v>
      </c>
      <c r="C2304" s="77">
        <v>40564</v>
      </c>
    </row>
    <row r="2305" spans="1:3" x14ac:dyDescent="0.25">
      <c r="A2305" s="6">
        <v>2909939</v>
      </c>
      <c r="B2305" s="6" t="s">
        <v>2436</v>
      </c>
      <c r="C2305" s="77">
        <v>42960</v>
      </c>
    </row>
    <row r="2306" spans="1:3" x14ac:dyDescent="0.25">
      <c r="A2306" s="6">
        <v>2909940</v>
      </c>
      <c r="B2306" s="6" t="s">
        <v>2437</v>
      </c>
      <c r="C2306" s="77">
        <v>9584</v>
      </c>
    </row>
    <row r="2307" spans="1:3" x14ac:dyDescent="0.25">
      <c r="A2307" s="6">
        <v>2909941</v>
      </c>
      <c r="B2307" s="6" t="s">
        <v>2438</v>
      </c>
      <c r="C2307" s="77">
        <v>246900</v>
      </c>
    </row>
    <row r="2308" spans="1:3" x14ac:dyDescent="0.25">
      <c r="A2308" s="6">
        <v>2909942</v>
      </c>
      <c r="B2308" s="6" t="s">
        <v>2439</v>
      </c>
      <c r="C2308" s="77">
        <v>6187</v>
      </c>
    </row>
    <row r="2309" spans="1:3" x14ac:dyDescent="0.25">
      <c r="A2309" s="6">
        <v>2909943</v>
      </c>
      <c r="B2309" s="6" t="s">
        <v>2440</v>
      </c>
      <c r="C2309" s="77">
        <v>23117</v>
      </c>
    </row>
    <row r="2310" spans="1:3" x14ac:dyDescent="0.25">
      <c r="A2310" s="6">
        <v>2909944</v>
      </c>
      <c r="B2310" s="6" t="s">
        <v>2441</v>
      </c>
      <c r="C2310" s="77">
        <v>13666</v>
      </c>
    </row>
    <row r="2311" spans="1:3" x14ac:dyDescent="0.25">
      <c r="A2311" s="6">
        <v>2909945</v>
      </c>
      <c r="B2311" s="6" t="s">
        <v>2442</v>
      </c>
      <c r="C2311" s="77">
        <v>25653</v>
      </c>
    </row>
    <row r="2312" spans="1:3" x14ac:dyDescent="0.25">
      <c r="A2312" s="6">
        <v>2909946</v>
      </c>
      <c r="B2312" s="6" t="s">
        <v>2443</v>
      </c>
      <c r="C2312" s="77">
        <v>58371</v>
      </c>
    </row>
    <row r="2313" spans="1:3" x14ac:dyDescent="0.25">
      <c r="A2313" s="6">
        <v>2909947</v>
      </c>
      <c r="B2313" s="6" t="s">
        <v>2444</v>
      </c>
      <c r="C2313" s="77">
        <v>108541</v>
      </c>
    </row>
    <row r="2314" spans="1:3" x14ac:dyDescent="0.25">
      <c r="A2314" s="6">
        <v>2909963</v>
      </c>
      <c r="B2314" s="6" t="s">
        <v>2445</v>
      </c>
      <c r="C2314" s="77">
        <v>18844</v>
      </c>
    </row>
    <row r="2315" spans="1:3" x14ac:dyDescent="0.25">
      <c r="A2315" s="6">
        <v>2909964</v>
      </c>
      <c r="B2315" s="6" t="s">
        <v>2446</v>
      </c>
      <c r="C2315" s="77">
        <v>66914</v>
      </c>
    </row>
    <row r="2316" spans="1:3" x14ac:dyDescent="0.25">
      <c r="A2316" s="6">
        <v>2909965</v>
      </c>
      <c r="B2316" s="6" t="s">
        <v>2447</v>
      </c>
      <c r="C2316" s="77">
        <v>79374</v>
      </c>
    </row>
    <row r="2317" spans="1:3" x14ac:dyDescent="0.25">
      <c r="A2317" s="6">
        <v>2909966</v>
      </c>
      <c r="B2317" s="6" t="s">
        <v>2448</v>
      </c>
      <c r="C2317" s="77">
        <v>6707</v>
      </c>
    </row>
    <row r="2318" spans="1:3" x14ac:dyDescent="0.25">
      <c r="A2318" s="6">
        <v>2909967</v>
      </c>
      <c r="B2318" s="6" t="s">
        <v>2449</v>
      </c>
      <c r="C2318" s="77">
        <v>28267</v>
      </c>
    </row>
    <row r="2319" spans="1:3" x14ac:dyDescent="0.25">
      <c r="A2319" s="6">
        <v>2909968</v>
      </c>
      <c r="B2319" s="6" t="s">
        <v>2450</v>
      </c>
      <c r="C2319" s="77">
        <v>4311</v>
      </c>
    </row>
    <row r="2320" spans="1:3" x14ac:dyDescent="0.25">
      <c r="A2320" s="6">
        <v>2909969</v>
      </c>
      <c r="B2320" s="6" t="s">
        <v>2451</v>
      </c>
      <c r="C2320" s="77">
        <v>14214</v>
      </c>
    </row>
    <row r="2321" spans="1:3" x14ac:dyDescent="0.25">
      <c r="A2321" s="6">
        <v>2909970</v>
      </c>
      <c r="B2321" s="6" t="s">
        <v>2452</v>
      </c>
      <c r="C2321" s="77">
        <v>7185</v>
      </c>
    </row>
    <row r="2322" spans="1:3" x14ac:dyDescent="0.25">
      <c r="A2322" s="6">
        <v>2909973</v>
      </c>
      <c r="B2322" s="6" t="s">
        <v>2453</v>
      </c>
      <c r="C2322" s="77">
        <v>2160523</v>
      </c>
    </row>
    <row r="2323" spans="1:3" x14ac:dyDescent="0.25">
      <c r="A2323" s="6">
        <v>2909991</v>
      </c>
      <c r="B2323" s="6" t="s">
        <v>2454</v>
      </c>
      <c r="C2323" s="77">
        <v>371786</v>
      </c>
    </row>
    <row r="2324" spans="1:3" x14ac:dyDescent="0.25">
      <c r="A2324" s="6">
        <v>2909992</v>
      </c>
      <c r="B2324" s="6" t="s">
        <v>2455</v>
      </c>
      <c r="C2324" s="77">
        <v>378335</v>
      </c>
    </row>
    <row r="2325" spans="1:3" x14ac:dyDescent="0.25">
      <c r="A2325" s="6">
        <v>2909993</v>
      </c>
      <c r="B2325" s="6" t="s">
        <v>2456</v>
      </c>
      <c r="C2325" s="77">
        <v>235400</v>
      </c>
    </row>
    <row r="2326" spans="1:3" x14ac:dyDescent="0.25">
      <c r="A2326" s="6">
        <v>2909994</v>
      </c>
      <c r="B2326" s="6" t="s">
        <v>2457</v>
      </c>
      <c r="C2326" s="77">
        <v>248817</v>
      </c>
    </row>
    <row r="2327" spans="1:3" x14ac:dyDescent="0.25">
      <c r="A2327" s="6">
        <v>2909997</v>
      </c>
      <c r="B2327" s="6" t="s">
        <v>2458</v>
      </c>
      <c r="C2327" s="77">
        <v>5930</v>
      </c>
    </row>
    <row r="2328" spans="1:3" x14ac:dyDescent="0.25">
      <c r="A2328" s="6">
        <v>2909998</v>
      </c>
      <c r="B2328" s="6" t="s">
        <v>2459</v>
      </c>
      <c r="C2328" s="77">
        <v>19887</v>
      </c>
    </row>
    <row r="2329" spans="1:3" x14ac:dyDescent="0.25">
      <c r="A2329" s="6">
        <v>2909999</v>
      </c>
      <c r="B2329" s="6" t="s">
        <v>2460</v>
      </c>
      <c r="C2329" s="77">
        <v>11615</v>
      </c>
    </row>
    <row r="2330" spans="1:3" x14ac:dyDescent="0.25">
      <c r="A2330" s="6">
        <v>2910000</v>
      </c>
      <c r="B2330" s="6" t="s">
        <v>2461</v>
      </c>
      <c r="C2330" s="77">
        <v>104430</v>
      </c>
    </row>
    <row r="2331" spans="1:3" x14ac:dyDescent="0.25">
      <c r="A2331" s="6">
        <v>2910001</v>
      </c>
      <c r="B2331" s="6" t="s">
        <v>2462</v>
      </c>
      <c r="C2331" s="77">
        <v>53962</v>
      </c>
    </row>
    <row r="2332" spans="1:3" x14ac:dyDescent="0.25">
      <c r="A2332" s="6">
        <v>2910002</v>
      </c>
      <c r="B2332" s="6" t="s">
        <v>2463</v>
      </c>
      <c r="C2332" s="77">
        <v>33357</v>
      </c>
    </row>
    <row r="2333" spans="1:3" x14ac:dyDescent="0.25">
      <c r="A2333" s="6">
        <v>2910003</v>
      </c>
      <c r="B2333" s="6" t="s">
        <v>2464</v>
      </c>
      <c r="C2333" s="77">
        <v>5930</v>
      </c>
    </row>
    <row r="2334" spans="1:3" x14ac:dyDescent="0.25">
      <c r="A2334" s="6">
        <v>2910004</v>
      </c>
      <c r="B2334" s="6" t="s">
        <v>2465</v>
      </c>
      <c r="C2334" s="77">
        <v>104430</v>
      </c>
    </row>
    <row r="2335" spans="1:3" x14ac:dyDescent="0.25">
      <c r="A2335" s="6">
        <v>2910005</v>
      </c>
      <c r="B2335" s="6" t="s">
        <v>2466</v>
      </c>
      <c r="C2335" s="77">
        <v>53962</v>
      </c>
    </row>
    <row r="2336" spans="1:3" x14ac:dyDescent="0.25">
      <c r="A2336" s="6">
        <v>2910021</v>
      </c>
      <c r="B2336" s="6" t="s">
        <v>2467</v>
      </c>
      <c r="C2336" s="77">
        <v>116139</v>
      </c>
    </row>
    <row r="2337" spans="1:3" x14ac:dyDescent="0.25">
      <c r="A2337" s="6">
        <v>2910022</v>
      </c>
      <c r="B2337" s="6" t="s">
        <v>2468</v>
      </c>
      <c r="C2337" s="77">
        <v>116139</v>
      </c>
    </row>
    <row r="2338" spans="1:3" x14ac:dyDescent="0.25">
      <c r="A2338" s="6">
        <v>2910023</v>
      </c>
      <c r="B2338" s="6" t="s">
        <v>2469</v>
      </c>
      <c r="C2338" s="77">
        <v>116139</v>
      </c>
    </row>
    <row r="2339" spans="1:3" x14ac:dyDescent="0.25">
      <c r="A2339" s="6">
        <v>2910024</v>
      </c>
      <c r="B2339" s="6" t="s">
        <v>2470</v>
      </c>
      <c r="C2339" s="77">
        <v>111129</v>
      </c>
    </row>
    <row r="2340" spans="1:3" x14ac:dyDescent="0.25">
      <c r="A2340" s="6">
        <v>2910025</v>
      </c>
      <c r="B2340" s="6" t="s">
        <v>2471</v>
      </c>
      <c r="C2340" s="77">
        <v>111129</v>
      </c>
    </row>
    <row r="2341" spans="1:3" x14ac:dyDescent="0.25">
      <c r="A2341" s="6">
        <v>2910026</v>
      </c>
      <c r="B2341" s="6" t="s">
        <v>2472</v>
      </c>
      <c r="C2341" s="77">
        <v>111129</v>
      </c>
    </row>
    <row r="2342" spans="1:3" x14ac:dyDescent="0.25">
      <c r="A2342" s="6">
        <v>2910027</v>
      </c>
      <c r="B2342" s="6" t="s">
        <v>2955</v>
      </c>
      <c r="C2342" s="77">
        <v>126317</v>
      </c>
    </row>
    <row r="2343" spans="1:3" x14ac:dyDescent="0.25">
      <c r="A2343" s="6">
        <v>2910028</v>
      </c>
      <c r="B2343" s="6" t="s">
        <v>2956</v>
      </c>
      <c r="C2343" s="77">
        <v>126317</v>
      </c>
    </row>
    <row r="2344" spans="1:3" x14ac:dyDescent="0.25">
      <c r="A2344" s="6">
        <v>2910029</v>
      </c>
      <c r="B2344" s="6" t="s">
        <v>2473</v>
      </c>
      <c r="C2344" s="77">
        <v>126317</v>
      </c>
    </row>
    <row r="2345" spans="1:3" x14ac:dyDescent="0.25">
      <c r="A2345" s="6">
        <v>2910030</v>
      </c>
      <c r="B2345" s="6" t="s">
        <v>2474</v>
      </c>
      <c r="C2345" s="77">
        <v>66965</v>
      </c>
    </row>
    <row r="2346" spans="1:3" x14ac:dyDescent="0.25">
      <c r="A2346" s="6">
        <v>2910031</v>
      </c>
      <c r="B2346" s="6" t="s">
        <v>2475</v>
      </c>
      <c r="C2346" s="77">
        <v>66965</v>
      </c>
    </row>
    <row r="2347" spans="1:3" x14ac:dyDescent="0.25">
      <c r="A2347" s="6">
        <v>2910032</v>
      </c>
      <c r="B2347" s="6" t="s">
        <v>2476</v>
      </c>
      <c r="C2347" s="77">
        <v>66965</v>
      </c>
    </row>
    <row r="2348" spans="1:3" x14ac:dyDescent="0.25">
      <c r="A2348" s="6">
        <v>2910033</v>
      </c>
      <c r="B2348" s="6" t="s">
        <v>2957</v>
      </c>
      <c r="C2348" s="77">
        <v>66965</v>
      </c>
    </row>
    <row r="2349" spans="1:3" x14ac:dyDescent="0.25">
      <c r="A2349" s="6">
        <v>2910034</v>
      </c>
      <c r="B2349" s="6" t="s">
        <v>2477</v>
      </c>
      <c r="C2349" s="77">
        <v>66965</v>
      </c>
    </row>
    <row r="2350" spans="1:3" x14ac:dyDescent="0.25">
      <c r="A2350" s="6">
        <v>2910035</v>
      </c>
      <c r="B2350" s="6" t="s">
        <v>2478</v>
      </c>
      <c r="C2350" s="77">
        <v>69024</v>
      </c>
    </row>
    <row r="2351" spans="1:3" x14ac:dyDescent="0.25">
      <c r="A2351" s="6">
        <v>2910036</v>
      </c>
      <c r="B2351" s="6" t="s">
        <v>2479</v>
      </c>
      <c r="C2351" s="77">
        <v>69024</v>
      </c>
    </row>
    <row r="2352" spans="1:3" x14ac:dyDescent="0.25">
      <c r="A2352" s="6">
        <v>2910037</v>
      </c>
      <c r="B2352" s="6" t="s">
        <v>2480</v>
      </c>
      <c r="C2352" s="77">
        <v>69024</v>
      </c>
    </row>
    <row r="2353" spans="1:3" x14ac:dyDescent="0.25">
      <c r="A2353" s="6">
        <v>2910038</v>
      </c>
      <c r="B2353" s="6" t="s">
        <v>2958</v>
      </c>
      <c r="C2353" s="77">
        <v>69024</v>
      </c>
    </row>
    <row r="2354" spans="1:3" x14ac:dyDescent="0.25">
      <c r="A2354" s="6">
        <v>2910039</v>
      </c>
      <c r="B2354" s="6" t="s">
        <v>2481</v>
      </c>
      <c r="C2354" s="77">
        <v>69024</v>
      </c>
    </row>
    <row r="2355" spans="1:3" x14ac:dyDescent="0.25">
      <c r="A2355" s="6">
        <v>2910040</v>
      </c>
      <c r="B2355" s="6" t="s">
        <v>2482</v>
      </c>
      <c r="C2355" s="77">
        <v>84211</v>
      </c>
    </row>
    <row r="2356" spans="1:3" x14ac:dyDescent="0.25">
      <c r="A2356" s="6">
        <v>2910041</v>
      </c>
      <c r="B2356" s="6" t="s">
        <v>2483</v>
      </c>
      <c r="C2356" s="77">
        <v>84211</v>
      </c>
    </row>
    <row r="2357" spans="1:3" x14ac:dyDescent="0.25">
      <c r="A2357" s="6">
        <v>2910042</v>
      </c>
      <c r="B2357" s="6" t="s">
        <v>2484</v>
      </c>
      <c r="C2357" s="77">
        <v>84211</v>
      </c>
    </row>
    <row r="2358" spans="1:3" x14ac:dyDescent="0.25">
      <c r="A2358" s="6">
        <v>2910043</v>
      </c>
      <c r="B2358" s="6" t="s">
        <v>2485</v>
      </c>
      <c r="C2358" s="77">
        <v>84211</v>
      </c>
    </row>
    <row r="2359" spans="1:3" x14ac:dyDescent="0.25">
      <c r="A2359" s="6">
        <v>2910044</v>
      </c>
      <c r="B2359" s="6" t="s">
        <v>2486</v>
      </c>
      <c r="C2359" s="77">
        <v>84211</v>
      </c>
    </row>
    <row r="2360" spans="1:3" x14ac:dyDescent="0.25">
      <c r="A2360" s="6">
        <v>2910055</v>
      </c>
      <c r="B2360" s="6" t="s">
        <v>2487</v>
      </c>
      <c r="C2360" s="77">
        <v>570763</v>
      </c>
    </row>
    <row r="2361" spans="1:3" x14ac:dyDescent="0.25">
      <c r="A2361" s="6">
        <v>2910056</v>
      </c>
      <c r="B2361" s="6" t="s">
        <v>2488</v>
      </c>
      <c r="C2361" s="77">
        <v>160985</v>
      </c>
    </row>
    <row r="2362" spans="1:3" x14ac:dyDescent="0.25">
      <c r="A2362" s="6">
        <v>2910057</v>
      </c>
      <c r="B2362" s="6" t="s">
        <v>2489</v>
      </c>
      <c r="C2362" s="77">
        <v>175620</v>
      </c>
    </row>
    <row r="2363" spans="1:3" x14ac:dyDescent="0.25">
      <c r="A2363" s="6">
        <v>2910058</v>
      </c>
      <c r="B2363" s="6" t="s">
        <v>2490</v>
      </c>
      <c r="C2363" s="77">
        <v>248794</v>
      </c>
    </row>
    <row r="2364" spans="1:3" x14ac:dyDescent="0.25">
      <c r="A2364" s="6">
        <v>2910093</v>
      </c>
      <c r="B2364" s="6" t="s">
        <v>2959</v>
      </c>
      <c r="C2364" s="77">
        <v>246484</v>
      </c>
    </row>
    <row r="2365" spans="1:3" x14ac:dyDescent="0.25">
      <c r="A2365" s="6">
        <v>2910114</v>
      </c>
      <c r="B2365" s="6" t="s">
        <v>2491</v>
      </c>
      <c r="C2365" s="77">
        <v>10184</v>
      </c>
    </row>
    <row r="2366" spans="1:3" x14ac:dyDescent="0.25">
      <c r="A2366" s="6">
        <v>2910115</v>
      </c>
      <c r="B2366" s="6" t="s">
        <v>2492</v>
      </c>
      <c r="C2366" s="77">
        <v>11729</v>
      </c>
    </row>
    <row r="2367" spans="1:3" x14ac:dyDescent="0.25">
      <c r="A2367" s="6">
        <v>2910116</v>
      </c>
      <c r="B2367" s="6" t="s">
        <v>2960</v>
      </c>
      <c r="C2367" s="77">
        <v>15071</v>
      </c>
    </row>
    <row r="2368" spans="1:3" x14ac:dyDescent="0.25">
      <c r="A2368" s="6">
        <v>2910117</v>
      </c>
      <c r="B2368" s="6" t="s">
        <v>2493</v>
      </c>
      <c r="C2368" s="77">
        <v>27469</v>
      </c>
    </row>
    <row r="2369" spans="1:3" x14ac:dyDescent="0.25">
      <c r="A2369" s="6">
        <v>2910118</v>
      </c>
      <c r="B2369" s="6" t="s">
        <v>2494</v>
      </c>
      <c r="C2369" s="77">
        <v>36163</v>
      </c>
    </row>
    <row r="2370" spans="1:3" x14ac:dyDescent="0.25">
      <c r="A2370" s="6">
        <v>2910119</v>
      </c>
      <c r="B2370" s="6" t="s">
        <v>2495</v>
      </c>
      <c r="C2370" s="77">
        <v>51491</v>
      </c>
    </row>
    <row r="2371" spans="1:3" x14ac:dyDescent="0.25">
      <c r="A2371" s="6">
        <v>2910120</v>
      </c>
      <c r="B2371" s="6" t="s">
        <v>2496</v>
      </c>
      <c r="C2371" s="77">
        <v>102159</v>
      </c>
    </row>
    <row r="2372" spans="1:3" x14ac:dyDescent="0.25">
      <c r="A2372" s="6">
        <v>2910121</v>
      </c>
      <c r="B2372" s="6" t="s">
        <v>2497</v>
      </c>
      <c r="C2372" s="77">
        <v>120729</v>
      </c>
    </row>
    <row r="2373" spans="1:3" x14ac:dyDescent="0.25">
      <c r="A2373" s="6">
        <v>2910122</v>
      </c>
      <c r="B2373" s="6" t="s">
        <v>2498</v>
      </c>
      <c r="C2373" s="77">
        <v>238215</v>
      </c>
    </row>
    <row r="2374" spans="1:3" x14ac:dyDescent="0.25">
      <c r="A2374" s="6">
        <v>2910123</v>
      </c>
      <c r="B2374" s="6" t="s">
        <v>2499</v>
      </c>
      <c r="C2374" s="77">
        <v>79268</v>
      </c>
    </row>
    <row r="2375" spans="1:3" x14ac:dyDescent="0.25">
      <c r="A2375" s="6">
        <v>2910124</v>
      </c>
      <c r="B2375" s="6" t="s">
        <v>2500</v>
      </c>
      <c r="C2375" s="77">
        <v>153495</v>
      </c>
    </row>
    <row r="2376" spans="1:3" x14ac:dyDescent="0.25">
      <c r="A2376" s="6">
        <v>2910125</v>
      </c>
      <c r="B2376" s="6" t="s">
        <v>2501</v>
      </c>
      <c r="C2376" s="77">
        <v>190430</v>
      </c>
    </row>
    <row r="2377" spans="1:3" x14ac:dyDescent="0.25">
      <c r="A2377" s="6">
        <v>2910126</v>
      </c>
      <c r="B2377" s="6" t="s">
        <v>2502</v>
      </c>
      <c r="C2377" s="77">
        <v>71373</v>
      </c>
    </row>
    <row r="2378" spans="1:3" x14ac:dyDescent="0.25">
      <c r="A2378" s="6">
        <v>2910127</v>
      </c>
      <c r="B2378" s="6" t="s">
        <v>2503</v>
      </c>
      <c r="C2378" s="77">
        <v>139530</v>
      </c>
    </row>
    <row r="2379" spans="1:3" x14ac:dyDescent="0.25">
      <c r="A2379" s="6">
        <v>2910128</v>
      </c>
      <c r="B2379" s="6" t="s">
        <v>2504</v>
      </c>
      <c r="C2379" s="77">
        <v>149388</v>
      </c>
    </row>
    <row r="2380" spans="1:3" x14ac:dyDescent="0.25">
      <c r="A2380" s="6">
        <v>2910129</v>
      </c>
      <c r="B2380" s="6" t="s">
        <v>2505</v>
      </c>
      <c r="C2380" s="77">
        <v>149388</v>
      </c>
    </row>
    <row r="2381" spans="1:3" x14ac:dyDescent="0.25">
      <c r="A2381" s="6">
        <v>2910130</v>
      </c>
      <c r="B2381" s="6" t="s">
        <v>2506</v>
      </c>
      <c r="C2381" s="77">
        <v>149388</v>
      </c>
    </row>
    <row r="2382" spans="1:3" x14ac:dyDescent="0.25">
      <c r="A2382" s="6">
        <v>2910131</v>
      </c>
      <c r="B2382" s="6" t="s">
        <v>2507</v>
      </c>
      <c r="C2382" s="77">
        <v>213045</v>
      </c>
    </row>
    <row r="2383" spans="1:3" x14ac:dyDescent="0.25">
      <c r="A2383" s="6">
        <v>2910132</v>
      </c>
      <c r="B2383" s="6" t="s">
        <v>2508</v>
      </c>
      <c r="C2383" s="77">
        <v>213045</v>
      </c>
    </row>
    <row r="2384" spans="1:3" x14ac:dyDescent="0.25">
      <c r="A2384" s="6">
        <v>2910134</v>
      </c>
      <c r="B2384" s="6" t="s">
        <v>2509</v>
      </c>
      <c r="C2384" s="77">
        <v>88063</v>
      </c>
    </row>
    <row r="2385" spans="1:3" x14ac:dyDescent="0.25">
      <c r="A2385" s="6">
        <v>2910135</v>
      </c>
      <c r="B2385" s="6" t="s">
        <v>2510</v>
      </c>
      <c r="C2385" s="77">
        <v>217948</v>
      </c>
    </row>
    <row r="2386" spans="1:3" x14ac:dyDescent="0.25">
      <c r="A2386" s="6">
        <v>2910136</v>
      </c>
      <c r="B2386" s="6" t="s">
        <v>2511</v>
      </c>
      <c r="C2386" s="77">
        <v>304367</v>
      </c>
    </row>
    <row r="2387" spans="1:3" x14ac:dyDescent="0.25">
      <c r="A2387" s="6">
        <v>2910137</v>
      </c>
      <c r="B2387" s="6" t="s">
        <v>2512</v>
      </c>
      <c r="C2387" s="77">
        <v>60389</v>
      </c>
    </row>
    <row r="2388" spans="1:3" x14ac:dyDescent="0.25">
      <c r="A2388" s="6">
        <v>2910138</v>
      </c>
      <c r="B2388" s="6" t="s">
        <v>2961</v>
      </c>
      <c r="C2388" s="77">
        <v>157713</v>
      </c>
    </row>
    <row r="2389" spans="1:3" x14ac:dyDescent="0.25">
      <c r="A2389" s="6">
        <v>2910139</v>
      </c>
      <c r="B2389" s="6" t="s">
        <v>2513</v>
      </c>
      <c r="C2389" s="77">
        <v>195110</v>
      </c>
    </row>
    <row r="2390" spans="1:3" x14ac:dyDescent="0.25">
      <c r="A2390" s="6">
        <v>2910140</v>
      </c>
      <c r="B2390" s="6" t="s">
        <v>2514</v>
      </c>
      <c r="C2390" s="77">
        <v>417432</v>
      </c>
    </row>
    <row r="2391" spans="1:3" x14ac:dyDescent="0.25">
      <c r="A2391" s="6">
        <v>2910217</v>
      </c>
      <c r="B2391" s="6" t="s">
        <v>2515</v>
      </c>
      <c r="C2391" s="77">
        <v>21676</v>
      </c>
    </row>
    <row r="2392" spans="1:3" x14ac:dyDescent="0.25">
      <c r="A2392" s="6">
        <v>2910218</v>
      </c>
      <c r="B2392" s="6" t="s">
        <v>2516</v>
      </c>
      <c r="C2392" s="77">
        <v>7225</v>
      </c>
    </row>
    <row r="2393" spans="1:3" x14ac:dyDescent="0.25">
      <c r="A2393" s="6">
        <v>2910219</v>
      </c>
      <c r="B2393" s="6" t="s">
        <v>2517</v>
      </c>
      <c r="C2393" s="77">
        <v>35621</v>
      </c>
    </row>
    <row r="2394" spans="1:3" x14ac:dyDescent="0.25">
      <c r="A2394" s="6">
        <v>2910220</v>
      </c>
      <c r="B2394" s="6" t="s">
        <v>2518</v>
      </c>
      <c r="C2394" s="77">
        <v>11874</v>
      </c>
    </row>
    <row r="2395" spans="1:3" x14ac:dyDescent="0.25">
      <c r="A2395" s="6">
        <v>2910221</v>
      </c>
      <c r="B2395" s="6" t="s">
        <v>2519</v>
      </c>
      <c r="C2395" s="77">
        <v>60262</v>
      </c>
    </row>
    <row r="2396" spans="1:3" x14ac:dyDescent="0.25">
      <c r="A2396" s="6">
        <v>2910222</v>
      </c>
      <c r="B2396" s="6" t="s">
        <v>2520</v>
      </c>
      <c r="C2396" s="77">
        <v>246815</v>
      </c>
    </row>
    <row r="2397" spans="1:3" x14ac:dyDescent="0.25">
      <c r="A2397" s="6">
        <v>2910223</v>
      </c>
      <c r="B2397" s="6" t="s">
        <v>2521</v>
      </c>
      <c r="C2397" s="77">
        <v>355725</v>
      </c>
    </row>
    <row r="2398" spans="1:3" x14ac:dyDescent="0.25">
      <c r="A2398" s="6">
        <v>2910224</v>
      </c>
      <c r="B2398" s="6" t="s">
        <v>2522</v>
      </c>
      <c r="C2398" s="77">
        <v>605490</v>
      </c>
    </row>
    <row r="2399" spans="1:3" x14ac:dyDescent="0.25">
      <c r="A2399" s="6">
        <v>2910262</v>
      </c>
      <c r="B2399" s="6" t="s">
        <v>2962</v>
      </c>
      <c r="C2399" s="77">
        <v>83091</v>
      </c>
    </row>
    <row r="2400" spans="1:3" x14ac:dyDescent="0.25">
      <c r="A2400" s="6">
        <v>2910264</v>
      </c>
      <c r="B2400" s="6" t="s">
        <v>2523</v>
      </c>
      <c r="C2400" s="77">
        <v>826442</v>
      </c>
    </row>
    <row r="2401" spans="1:3" x14ac:dyDescent="0.25">
      <c r="A2401" s="6">
        <v>2910265</v>
      </c>
      <c r="B2401" s="6" t="s">
        <v>2524</v>
      </c>
      <c r="C2401" s="77">
        <v>826442</v>
      </c>
    </row>
    <row r="2402" spans="1:3" x14ac:dyDescent="0.25">
      <c r="A2402" s="6">
        <v>2910266</v>
      </c>
      <c r="B2402" s="6" t="s">
        <v>2525</v>
      </c>
      <c r="C2402" s="77">
        <v>890229</v>
      </c>
    </row>
    <row r="2403" spans="1:3" x14ac:dyDescent="0.25">
      <c r="A2403" s="6">
        <v>2910267</v>
      </c>
      <c r="B2403" s="6" t="s">
        <v>2526</v>
      </c>
      <c r="C2403" s="77">
        <v>1033508</v>
      </c>
    </row>
    <row r="2404" spans="1:3" x14ac:dyDescent="0.25">
      <c r="A2404" s="6">
        <v>2910268</v>
      </c>
      <c r="B2404" s="6" t="s">
        <v>2527</v>
      </c>
      <c r="C2404" s="77">
        <v>926146</v>
      </c>
    </row>
    <row r="2405" spans="1:3" x14ac:dyDescent="0.25">
      <c r="A2405" s="6">
        <v>2910269</v>
      </c>
      <c r="B2405" s="6" t="s">
        <v>2528</v>
      </c>
      <c r="C2405" s="77">
        <v>926146</v>
      </c>
    </row>
    <row r="2406" spans="1:3" x14ac:dyDescent="0.25">
      <c r="A2406" s="6">
        <v>2910270</v>
      </c>
      <c r="B2406" s="6" t="s">
        <v>2529</v>
      </c>
      <c r="C2406" s="77">
        <v>1020495</v>
      </c>
    </row>
    <row r="2407" spans="1:3" x14ac:dyDescent="0.25">
      <c r="A2407" s="6">
        <v>2910271</v>
      </c>
      <c r="B2407" s="6" t="s">
        <v>2530</v>
      </c>
      <c r="C2407" s="77">
        <v>1114844</v>
      </c>
    </row>
    <row r="2408" spans="1:3" x14ac:dyDescent="0.25">
      <c r="A2408" s="6">
        <v>2910280</v>
      </c>
      <c r="B2408" s="6" t="s">
        <v>2531</v>
      </c>
      <c r="C2408" s="77">
        <v>5540</v>
      </c>
    </row>
    <row r="2409" spans="1:3" x14ac:dyDescent="0.25">
      <c r="A2409" s="6">
        <v>2910328</v>
      </c>
      <c r="B2409" s="6" t="s">
        <v>2532</v>
      </c>
      <c r="C2409" s="77">
        <v>2756</v>
      </c>
    </row>
    <row r="2410" spans="1:3" x14ac:dyDescent="0.25">
      <c r="A2410" s="6">
        <v>2910329</v>
      </c>
      <c r="B2410" s="6" t="s">
        <v>2533</v>
      </c>
      <c r="C2410" s="77">
        <v>3359</v>
      </c>
    </row>
    <row r="2411" spans="1:3" x14ac:dyDescent="0.25">
      <c r="A2411" s="6">
        <v>2910331</v>
      </c>
      <c r="B2411" s="6" t="s">
        <v>2534</v>
      </c>
      <c r="C2411" s="77">
        <v>1757</v>
      </c>
    </row>
    <row r="2412" spans="1:3" x14ac:dyDescent="0.25">
      <c r="A2412" s="6">
        <v>2910332</v>
      </c>
      <c r="B2412" s="6" t="s">
        <v>2535</v>
      </c>
      <c r="C2412" s="77">
        <v>2160</v>
      </c>
    </row>
    <row r="2413" spans="1:3" x14ac:dyDescent="0.25">
      <c r="A2413" s="6">
        <v>2910333</v>
      </c>
      <c r="B2413" s="6" t="s">
        <v>2536</v>
      </c>
      <c r="C2413" s="77">
        <v>13032</v>
      </c>
    </row>
    <row r="2414" spans="1:3" x14ac:dyDescent="0.25">
      <c r="A2414" s="6">
        <v>2910334</v>
      </c>
      <c r="B2414" s="6" t="s">
        <v>2537</v>
      </c>
      <c r="C2414" s="77">
        <v>21714</v>
      </c>
    </row>
    <row r="2415" spans="1:3" x14ac:dyDescent="0.25">
      <c r="A2415" s="6">
        <v>2910335</v>
      </c>
      <c r="B2415" s="6" t="s">
        <v>2538</v>
      </c>
      <c r="C2415" s="77">
        <v>26995</v>
      </c>
    </row>
    <row r="2416" spans="1:3" x14ac:dyDescent="0.25">
      <c r="A2416" s="6">
        <v>2910340</v>
      </c>
      <c r="B2416" s="6" t="s">
        <v>2539</v>
      </c>
      <c r="C2416" s="77">
        <v>2756</v>
      </c>
    </row>
    <row r="2417" spans="1:3" x14ac:dyDescent="0.25">
      <c r="A2417" s="6">
        <v>2910341</v>
      </c>
      <c r="B2417" s="6" t="s">
        <v>2540</v>
      </c>
      <c r="C2417" s="77">
        <v>3359</v>
      </c>
    </row>
    <row r="2418" spans="1:3" x14ac:dyDescent="0.25">
      <c r="A2418" s="6">
        <v>2910346</v>
      </c>
      <c r="B2418" s="6" t="s">
        <v>2541</v>
      </c>
      <c r="C2418" s="77">
        <v>1757</v>
      </c>
    </row>
    <row r="2419" spans="1:3" x14ac:dyDescent="0.25">
      <c r="A2419" s="6">
        <v>2910347</v>
      </c>
      <c r="B2419" s="6" t="s">
        <v>2542</v>
      </c>
      <c r="C2419" s="77">
        <v>2160</v>
      </c>
    </row>
    <row r="2420" spans="1:3" x14ac:dyDescent="0.25">
      <c r="A2420" s="6">
        <v>2910348</v>
      </c>
      <c r="B2420" s="6" t="s">
        <v>2543</v>
      </c>
      <c r="C2420" s="77">
        <v>1757</v>
      </c>
    </row>
    <row r="2421" spans="1:3" x14ac:dyDescent="0.25">
      <c r="A2421" s="6">
        <v>2910350</v>
      </c>
      <c r="B2421" s="6" t="s">
        <v>2544</v>
      </c>
      <c r="C2421" s="77">
        <v>1535</v>
      </c>
    </row>
    <row r="2422" spans="1:3" x14ac:dyDescent="0.25">
      <c r="A2422" s="6">
        <v>2910352</v>
      </c>
      <c r="B2422" s="6" t="s">
        <v>2545</v>
      </c>
      <c r="C2422" s="77">
        <v>6070</v>
      </c>
    </row>
    <row r="2423" spans="1:3" x14ac:dyDescent="0.25">
      <c r="A2423" s="6">
        <v>2910354</v>
      </c>
      <c r="B2423" s="6" t="s">
        <v>2546</v>
      </c>
      <c r="C2423" s="77">
        <v>5963</v>
      </c>
    </row>
    <row r="2424" spans="1:3" x14ac:dyDescent="0.25">
      <c r="A2424" s="6">
        <v>2910355</v>
      </c>
      <c r="B2424" s="6" t="s">
        <v>2547</v>
      </c>
      <c r="C2424" s="77">
        <v>7657</v>
      </c>
    </row>
    <row r="2425" spans="1:3" x14ac:dyDescent="0.25">
      <c r="A2425" s="6">
        <v>2910356</v>
      </c>
      <c r="B2425" s="6" t="s">
        <v>2548</v>
      </c>
      <c r="C2425" s="77">
        <v>11227</v>
      </c>
    </row>
    <row r="2426" spans="1:3" x14ac:dyDescent="0.25">
      <c r="A2426" s="6">
        <v>2910357</v>
      </c>
      <c r="B2426" s="6" t="s">
        <v>2549</v>
      </c>
      <c r="C2426" s="77">
        <v>11199</v>
      </c>
    </row>
    <row r="2427" spans="1:3" x14ac:dyDescent="0.25">
      <c r="A2427" s="6">
        <v>2910359</v>
      </c>
      <c r="B2427" s="6" t="s">
        <v>2550</v>
      </c>
      <c r="C2427" s="77">
        <v>1535</v>
      </c>
    </row>
    <row r="2428" spans="1:3" x14ac:dyDescent="0.25">
      <c r="A2428" s="6">
        <v>2910360</v>
      </c>
      <c r="B2428" s="6" t="s">
        <v>2551</v>
      </c>
      <c r="C2428" s="77">
        <v>1614</v>
      </c>
    </row>
    <row r="2429" spans="1:3" x14ac:dyDescent="0.25">
      <c r="A2429" s="6">
        <v>2910361</v>
      </c>
      <c r="B2429" s="6" t="s">
        <v>2552</v>
      </c>
      <c r="C2429" s="77">
        <v>2918</v>
      </c>
    </row>
    <row r="2430" spans="1:3" x14ac:dyDescent="0.25">
      <c r="A2430" s="6">
        <v>2910363</v>
      </c>
      <c r="B2430" s="6" t="s">
        <v>2553</v>
      </c>
      <c r="C2430" s="77">
        <v>7676</v>
      </c>
    </row>
    <row r="2431" spans="1:3" x14ac:dyDescent="0.25">
      <c r="A2431" s="6">
        <v>2910364</v>
      </c>
      <c r="B2431" s="6" t="s">
        <v>2554</v>
      </c>
      <c r="C2431" s="77">
        <v>19898</v>
      </c>
    </row>
    <row r="2432" spans="1:3" x14ac:dyDescent="0.25">
      <c r="A2432" s="6">
        <v>2910365</v>
      </c>
      <c r="B2432" s="6" t="s">
        <v>2555</v>
      </c>
      <c r="C2432" s="77">
        <v>28187</v>
      </c>
    </row>
    <row r="2433" spans="1:3" x14ac:dyDescent="0.25">
      <c r="A2433" s="6">
        <v>2910370</v>
      </c>
      <c r="B2433" s="6" t="s">
        <v>2556</v>
      </c>
      <c r="C2433" s="77">
        <v>1614</v>
      </c>
    </row>
    <row r="2434" spans="1:3" x14ac:dyDescent="0.25">
      <c r="A2434" s="6">
        <v>2910371</v>
      </c>
      <c r="B2434" s="6" t="s">
        <v>2557</v>
      </c>
      <c r="C2434" s="77">
        <v>2918</v>
      </c>
    </row>
    <row r="2435" spans="1:3" x14ac:dyDescent="0.25">
      <c r="A2435" s="6">
        <v>2910372</v>
      </c>
      <c r="B2435" s="6" t="s">
        <v>2558</v>
      </c>
      <c r="C2435" s="77">
        <v>1614</v>
      </c>
    </row>
    <row r="2436" spans="1:3" x14ac:dyDescent="0.25">
      <c r="A2436" s="6">
        <v>2910373</v>
      </c>
      <c r="B2436" s="6" t="s">
        <v>2559</v>
      </c>
      <c r="C2436" s="77">
        <v>2918</v>
      </c>
    </row>
    <row r="2437" spans="1:3" x14ac:dyDescent="0.25">
      <c r="A2437" s="6">
        <v>2910374</v>
      </c>
      <c r="B2437" s="6" t="s">
        <v>2560</v>
      </c>
      <c r="C2437" s="77">
        <v>8568</v>
      </c>
    </row>
    <row r="2438" spans="1:3" x14ac:dyDescent="0.25">
      <c r="A2438" s="6">
        <v>2910375</v>
      </c>
      <c r="B2438" s="6" t="s">
        <v>2561</v>
      </c>
      <c r="C2438" s="77">
        <v>17391</v>
      </c>
    </row>
    <row r="2439" spans="1:3" x14ac:dyDescent="0.25">
      <c r="A2439" s="6">
        <v>2910377</v>
      </c>
      <c r="B2439" s="6" t="s">
        <v>2562</v>
      </c>
      <c r="C2439" s="77">
        <v>30632</v>
      </c>
    </row>
    <row r="2440" spans="1:3" x14ac:dyDescent="0.25">
      <c r="A2440" s="6">
        <v>2910382</v>
      </c>
      <c r="B2440" s="6" t="s">
        <v>2563</v>
      </c>
      <c r="C2440" s="77">
        <v>1614</v>
      </c>
    </row>
    <row r="2441" spans="1:3" x14ac:dyDescent="0.25">
      <c r="A2441" s="6">
        <v>2910383</v>
      </c>
      <c r="B2441" s="6" t="s">
        <v>2564</v>
      </c>
      <c r="C2441" s="77">
        <v>2918</v>
      </c>
    </row>
    <row r="2442" spans="1:3" x14ac:dyDescent="0.25">
      <c r="A2442" s="6">
        <v>2910384</v>
      </c>
      <c r="B2442" s="6" t="s">
        <v>2565</v>
      </c>
      <c r="C2442" s="77">
        <v>1614</v>
      </c>
    </row>
    <row r="2443" spans="1:3" x14ac:dyDescent="0.25">
      <c r="A2443" s="6">
        <v>2910385</v>
      </c>
      <c r="B2443" s="6" t="s">
        <v>2566</v>
      </c>
      <c r="C2443" s="77">
        <v>1535</v>
      </c>
    </row>
    <row r="2444" spans="1:3" x14ac:dyDescent="0.25">
      <c r="A2444" s="6">
        <v>2910386</v>
      </c>
      <c r="B2444" s="6" t="s">
        <v>2567</v>
      </c>
      <c r="C2444" s="77">
        <v>1535</v>
      </c>
    </row>
    <row r="2445" spans="1:3" x14ac:dyDescent="0.25">
      <c r="A2445" s="6">
        <v>2910387</v>
      </c>
      <c r="B2445" s="6" t="s">
        <v>2568</v>
      </c>
      <c r="C2445" s="77">
        <v>5551</v>
      </c>
    </row>
    <row r="2446" spans="1:3" x14ac:dyDescent="0.25">
      <c r="A2446" s="6">
        <v>2910388</v>
      </c>
      <c r="B2446" s="6" t="s">
        <v>2569</v>
      </c>
      <c r="C2446" s="77">
        <v>10228</v>
      </c>
    </row>
    <row r="2447" spans="1:3" x14ac:dyDescent="0.25">
      <c r="A2447" s="6">
        <v>2910389</v>
      </c>
      <c r="B2447" s="6" t="s">
        <v>2570</v>
      </c>
      <c r="C2447" s="77">
        <v>15819</v>
      </c>
    </row>
    <row r="2448" spans="1:3" x14ac:dyDescent="0.25">
      <c r="A2448" s="6">
        <v>2910393</v>
      </c>
      <c r="B2448" s="6" t="s">
        <v>2571</v>
      </c>
      <c r="C2448" s="77">
        <v>1535</v>
      </c>
    </row>
    <row r="2449" spans="1:3" x14ac:dyDescent="0.25">
      <c r="A2449" s="6">
        <v>2910394</v>
      </c>
      <c r="B2449" s="6" t="s">
        <v>2572</v>
      </c>
      <c r="C2449" s="77">
        <v>1535</v>
      </c>
    </row>
    <row r="2450" spans="1:3" x14ac:dyDescent="0.25">
      <c r="A2450" s="6">
        <v>2910395</v>
      </c>
      <c r="B2450" s="6" t="s">
        <v>2573</v>
      </c>
      <c r="C2450" s="77">
        <v>1535</v>
      </c>
    </row>
    <row r="2451" spans="1:3" x14ac:dyDescent="0.25">
      <c r="A2451" s="6">
        <v>2910396</v>
      </c>
      <c r="B2451" s="6" t="s">
        <v>2574</v>
      </c>
      <c r="C2451" s="77">
        <v>2142</v>
      </c>
    </row>
    <row r="2452" spans="1:3" x14ac:dyDescent="0.25">
      <c r="A2452" s="6">
        <v>2910397</v>
      </c>
      <c r="B2452" s="6" t="s">
        <v>2575</v>
      </c>
      <c r="C2452" s="77">
        <v>3392</v>
      </c>
    </row>
    <row r="2453" spans="1:3" x14ac:dyDescent="0.25">
      <c r="A2453" s="6">
        <v>2910398</v>
      </c>
      <c r="B2453" s="6" t="s">
        <v>2576</v>
      </c>
      <c r="C2453" s="77">
        <v>19462</v>
      </c>
    </row>
    <row r="2454" spans="1:3" x14ac:dyDescent="0.25">
      <c r="A2454" s="6">
        <v>2910399</v>
      </c>
      <c r="B2454" s="6" t="s">
        <v>2577</v>
      </c>
      <c r="C2454" s="77">
        <v>34215</v>
      </c>
    </row>
    <row r="2455" spans="1:3" x14ac:dyDescent="0.25">
      <c r="A2455" s="6">
        <v>2910400</v>
      </c>
      <c r="B2455" s="6" t="s">
        <v>2578</v>
      </c>
      <c r="C2455" s="77">
        <v>45946</v>
      </c>
    </row>
    <row r="2456" spans="1:3" x14ac:dyDescent="0.25">
      <c r="A2456" s="6">
        <v>2910405</v>
      </c>
      <c r="B2456" s="6" t="s">
        <v>2579</v>
      </c>
      <c r="C2456" s="77">
        <v>2142</v>
      </c>
    </row>
    <row r="2457" spans="1:3" x14ac:dyDescent="0.25">
      <c r="A2457" s="6">
        <v>2910406</v>
      </c>
      <c r="B2457" s="6" t="s">
        <v>2580</v>
      </c>
      <c r="C2457" s="77">
        <v>3392</v>
      </c>
    </row>
    <row r="2458" spans="1:3" x14ac:dyDescent="0.25">
      <c r="A2458" s="6">
        <v>2910407</v>
      </c>
      <c r="B2458" s="6" t="s">
        <v>2581</v>
      </c>
      <c r="C2458" s="77">
        <v>2142</v>
      </c>
    </row>
    <row r="2459" spans="1:3" x14ac:dyDescent="0.25">
      <c r="A2459" s="6">
        <v>2910408</v>
      </c>
      <c r="B2459" s="6" t="s">
        <v>2582</v>
      </c>
      <c r="C2459" s="77">
        <v>1173</v>
      </c>
    </row>
    <row r="2460" spans="1:3" x14ac:dyDescent="0.25">
      <c r="A2460" s="6">
        <v>2910409</v>
      </c>
      <c r="B2460" s="6" t="s">
        <v>2583</v>
      </c>
      <c r="C2460" s="77">
        <v>1731</v>
      </c>
    </row>
    <row r="2461" spans="1:3" x14ac:dyDescent="0.25">
      <c r="A2461" s="6">
        <v>2910410</v>
      </c>
      <c r="B2461" s="6" t="s">
        <v>2584</v>
      </c>
      <c r="C2461" s="77">
        <v>7636</v>
      </c>
    </row>
    <row r="2462" spans="1:3" x14ac:dyDescent="0.25">
      <c r="A2462" s="6">
        <v>2910411</v>
      </c>
      <c r="B2462" s="6" t="s">
        <v>2585</v>
      </c>
      <c r="C2462" s="77">
        <v>24157</v>
      </c>
    </row>
    <row r="2463" spans="1:3" x14ac:dyDescent="0.25">
      <c r="A2463" s="6">
        <v>2910412</v>
      </c>
      <c r="B2463" s="6" t="s">
        <v>2586</v>
      </c>
      <c r="C2463" s="77">
        <v>26719</v>
      </c>
    </row>
    <row r="2464" spans="1:3" x14ac:dyDescent="0.25">
      <c r="A2464" s="6">
        <v>2910418</v>
      </c>
      <c r="B2464" s="6" t="s">
        <v>2587</v>
      </c>
      <c r="C2464" s="77">
        <v>1173</v>
      </c>
    </row>
    <row r="2465" spans="1:3" x14ac:dyDescent="0.25">
      <c r="A2465" s="6">
        <v>2910419</v>
      </c>
      <c r="B2465" s="6" t="s">
        <v>2588</v>
      </c>
      <c r="C2465" s="77">
        <v>1731</v>
      </c>
    </row>
    <row r="2466" spans="1:3" x14ac:dyDescent="0.25">
      <c r="A2466" s="6">
        <v>2910420</v>
      </c>
      <c r="B2466" s="6" t="s">
        <v>2589</v>
      </c>
      <c r="C2466" s="77">
        <v>1173</v>
      </c>
    </row>
    <row r="2467" spans="1:3" x14ac:dyDescent="0.25">
      <c r="A2467" s="6">
        <v>2910421</v>
      </c>
      <c r="B2467" s="6" t="s">
        <v>2590</v>
      </c>
      <c r="C2467" s="77">
        <v>11181</v>
      </c>
    </row>
    <row r="2468" spans="1:3" x14ac:dyDescent="0.25">
      <c r="A2468" s="6">
        <v>2910422</v>
      </c>
      <c r="B2468" s="6" t="s">
        <v>2591</v>
      </c>
      <c r="C2468" s="77">
        <v>12456</v>
      </c>
    </row>
    <row r="2469" spans="1:3" x14ac:dyDescent="0.25">
      <c r="A2469" s="6">
        <v>2910425</v>
      </c>
      <c r="B2469" s="6" t="s">
        <v>2592</v>
      </c>
      <c r="C2469" s="77">
        <v>11181</v>
      </c>
    </row>
    <row r="2470" spans="1:3" x14ac:dyDescent="0.25">
      <c r="A2470" s="6">
        <v>2910426</v>
      </c>
      <c r="B2470" s="6" t="s">
        <v>2593</v>
      </c>
      <c r="C2470" s="77">
        <v>15232</v>
      </c>
    </row>
    <row r="2471" spans="1:3" x14ac:dyDescent="0.25">
      <c r="A2471" s="6">
        <v>2910427</v>
      </c>
      <c r="B2471" s="6" t="s">
        <v>2594</v>
      </c>
      <c r="C2471" s="77">
        <v>23664</v>
      </c>
    </row>
    <row r="2472" spans="1:3" x14ac:dyDescent="0.25">
      <c r="A2472" s="6">
        <v>2910428</v>
      </c>
      <c r="B2472" s="6" t="s">
        <v>2595</v>
      </c>
      <c r="C2472" s="77">
        <v>36012</v>
      </c>
    </row>
    <row r="2473" spans="1:3" x14ac:dyDescent="0.25">
      <c r="A2473" s="6">
        <v>2910432</v>
      </c>
      <c r="B2473" s="6" t="s">
        <v>2963</v>
      </c>
      <c r="C2473" s="77">
        <v>127442</v>
      </c>
    </row>
    <row r="2474" spans="1:3" x14ac:dyDescent="0.25">
      <c r="A2474" s="6">
        <v>2910433</v>
      </c>
      <c r="B2474" s="6" t="s">
        <v>2964</v>
      </c>
      <c r="C2474" s="77">
        <v>150120</v>
      </c>
    </row>
    <row r="2475" spans="1:3" x14ac:dyDescent="0.25">
      <c r="A2475" s="6">
        <v>2910434</v>
      </c>
      <c r="B2475" s="6" t="s">
        <v>2596</v>
      </c>
      <c r="C2475" s="77">
        <v>131913</v>
      </c>
    </row>
    <row r="2476" spans="1:3" x14ac:dyDescent="0.25">
      <c r="A2476" s="6">
        <v>2910435</v>
      </c>
      <c r="B2476" s="6" t="s">
        <v>2597</v>
      </c>
      <c r="C2476" s="77">
        <v>135268</v>
      </c>
    </row>
    <row r="2477" spans="1:3" x14ac:dyDescent="0.25">
      <c r="A2477" s="6">
        <v>2910436</v>
      </c>
      <c r="B2477" s="6" t="s">
        <v>2598</v>
      </c>
      <c r="C2477" s="77">
        <v>236360</v>
      </c>
    </row>
    <row r="2478" spans="1:3" x14ac:dyDescent="0.25">
      <c r="A2478" s="6">
        <v>2910437</v>
      </c>
      <c r="B2478" s="6" t="s">
        <v>2599</v>
      </c>
      <c r="C2478" s="77">
        <v>321802</v>
      </c>
    </row>
    <row r="2479" spans="1:3" x14ac:dyDescent="0.25">
      <c r="A2479" s="6">
        <v>2910438</v>
      </c>
      <c r="B2479" s="6" t="s">
        <v>2600</v>
      </c>
      <c r="C2479" s="77">
        <v>569336</v>
      </c>
    </row>
    <row r="2480" spans="1:3" x14ac:dyDescent="0.25">
      <c r="A2480" s="6">
        <v>2910439</v>
      </c>
      <c r="B2480" s="6" t="s">
        <v>2601</v>
      </c>
      <c r="C2480" s="77">
        <v>801224</v>
      </c>
    </row>
    <row r="2481" spans="1:3" x14ac:dyDescent="0.25">
      <c r="A2481" s="6">
        <v>2910449</v>
      </c>
      <c r="B2481" s="6" t="s">
        <v>2602</v>
      </c>
      <c r="C2481" s="77">
        <v>6707</v>
      </c>
    </row>
    <row r="2482" spans="1:3" x14ac:dyDescent="0.25">
      <c r="A2482" s="6">
        <v>2910450</v>
      </c>
      <c r="B2482" s="6" t="s">
        <v>2603</v>
      </c>
      <c r="C2482" s="77">
        <v>30982</v>
      </c>
    </row>
    <row r="2483" spans="1:3" x14ac:dyDescent="0.25">
      <c r="A2483" s="6">
        <v>2910451</v>
      </c>
      <c r="B2483" s="6" t="s">
        <v>2604</v>
      </c>
      <c r="C2483" s="77">
        <v>40246</v>
      </c>
    </row>
    <row r="2484" spans="1:3" x14ac:dyDescent="0.25">
      <c r="A2484" s="6">
        <v>2910452</v>
      </c>
      <c r="B2484" s="6" t="s">
        <v>2605</v>
      </c>
      <c r="C2484" s="77">
        <v>11181</v>
      </c>
    </row>
    <row r="2485" spans="1:3" x14ac:dyDescent="0.25">
      <c r="A2485" s="6">
        <v>2910453</v>
      </c>
      <c r="B2485" s="6" t="s">
        <v>2606</v>
      </c>
      <c r="C2485" s="77">
        <v>30822</v>
      </c>
    </row>
    <row r="2486" spans="1:3" x14ac:dyDescent="0.25">
      <c r="A2486" s="6">
        <v>2910454</v>
      </c>
      <c r="B2486" s="6" t="s">
        <v>2607</v>
      </c>
      <c r="C2486" s="77">
        <v>64198</v>
      </c>
    </row>
    <row r="2487" spans="1:3" x14ac:dyDescent="0.25">
      <c r="A2487" s="6">
        <v>2910455</v>
      </c>
      <c r="B2487" s="6" t="s">
        <v>2608</v>
      </c>
      <c r="C2487" s="77">
        <v>71228</v>
      </c>
    </row>
    <row r="2488" spans="1:3" x14ac:dyDescent="0.25">
      <c r="A2488" s="6">
        <v>2910460</v>
      </c>
      <c r="B2488" s="6" t="s">
        <v>2609</v>
      </c>
      <c r="C2488" s="77">
        <v>2274</v>
      </c>
    </row>
    <row r="2489" spans="1:3" x14ac:dyDescent="0.25">
      <c r="A2489" s="6">
        <v>2910461</v>
      </c>
      <c r="B2489" s="6" t="s">
        <v>2610</v>
      </c>
      <c r="C2489" s="77">
        <v>3285</v>
      </c>
    </row>
    <row r="2490" spans="1:3" x14ac:dyDescent="0.25">
      <c r="A2490" s="6">
        <v>2910462</v>
      </c>
      <c r="B2490" s="6" t="s">
        <v>2965</v>
      </c>
      <c r="C2490" s="77">
        <v>4283</v>
      </c>
    </row>
    <row r="2491" spans="1:3" x14ac:dyDescent="0.25">
      <c r="A2491" s="6">
        <v>2910464</v>
      </c>
      <c r="B2491" s="6" t="s">
        <v>2611</v>
      </c>
      <c r="C2491" s="77">
        <v>62924</v>
      </c>
    </row>
    <row r="2492" spans="1:3" x14ac:dyDescent="0.25">
      <c r="A2492" s="6">
        <v>2910476</v>
      </c>
      <c r="B2492" s="6" t="s">
        <v>2612</v>
      </c>
      <c r="C2492" s="77">
        <v>826442</v>
      </c>
    </row>
    <row r="2493" spans="1:3" x14ac:dyDescent="0.25">
      <c r="A2493" s="6">
        <v>2910493</v>
      </c>
      <c r="B2493" s="6" t="s">
        <v>2613</v>
      </c>
      <c r="C2493" s="77">
        <v>3322</v>
      </c>
    </row>
    <row r="2494" spans="1:3" x14ac:dyDescent="0.25">
      <c r="A2494" s="6">
        <v>2910494</v>
      </c>
      <c r="B2494" s="6" t="s">
        <v>2614</v>
      </c>
      <c r="C2494" s="77">
        <v>3322</v>
      </c>
    </row>
    <row r="2495" spans="1:3" x14ac:dyDescent="0.25">
      <c r="A2495" s="6">
        <v>2910495</v>
      </c>
      <c r="B2495" s="6" t="s">
        <v>2615</v>
      </c>
      <c r="C2495" s="77">
        <v>11866</v>
      </c>
    </row>
    <row r="2496" spans="1:3" x14ac:dyDescent="0.25">
      <c r="A2496" s="6">
        <v>2910496</v>
      </c>
      <c r="B2496" s="6" t="s">
        <v>2616</v>
      </c>
      <c r="C2496" s="77">
        <v>11075</v>
      </c>
    </row>
    <row r="2497" spans="1:3" x14ac:dyDescent="0.25">
      <c r="A2497" s="6">
        <v>2910497</v>
      </c>
      <c r="B2497" s="6" t="s">
        <v>2617</v>
      </c>
      <c r="C2497" s="77">
        <v>7353</v>
      </c>
    </row>
    <row r="2498" spans="1:3" x14ac:dyDescent="0.25">
      <c r="A2498" s="6">
        <v>2910531</v>
      </c>
      <c r="B2498" s="6" t="s">
        <v>2618</v>
      </c>
      <c r="C2498" s="77">
        <v>2049</v>
      </c>
    </row>
    <row r="2499" spans="1:3" x14ac:dyDescent="0.25">
      <c r="A2499" s="6">
        <v>2910532</v>
      </c>
      <c r="B2499" s="6" t="s">
        <v>2619</v>
      </c>
      <c r="C2499" s="77">
        <v>2634</v>
      </c>
    </row>
    <row r="2500" spans="1:3" x14ac:dyDescent="0.25">
      <c r="A2500" s="6">
        <v>2910533</v>
      </c>
      <c r="B2500" s="6" t="s">
        <v>2620</v>
      </c>
      <c r="C2500" s="77">
        <v>3659</v>
      </c>
    </row>
    <row r="2501" spans="1:3" x14ac:dyDescent="0.25">
      <c r="A2501" s="6">
        <v>2910536</v>
      </c>
      <c r="B2501" s="6" t="s">
        <v>2621</v>
      </c>
      <c r="C2501" s="77">
        <v>523414</v>
      </c>
    </row>
    <row r="2502" spans="1:3" x14ac:dyDescent="0.25">
      <c r="A2502" s="6">
        <v>2910537</v>
      </c>
      <c r="B2502" s="6" t="s">
        <v>2622</v>
      </c>
      <c r="C2502" s="77">
        <v>655995</v>
      </c>
    </row>
    <row r="2503" spans="1:3" x14ac:dyDescent="0.25">
      <c r="A2503" s="6">
        <v>2910539</v>
      </c>
      <c r="B2503" s="6" t="s">
        <v>2623</v>
      </c>
      <c r="C2503" s="77">
        <v>1080458</v>
      </c>
    </row>
    <row r="2504" spans="1:3" x14ac:dyDescent="0.25">
      <c r="A2504" s="6">
        <v>2910540</v>
      </c>
      <c r="B2504" s="6" t="s">
        <v>2624</v>
      </c>
      <c r="C2504" s="77">
        <v>1361377</v>
      </c>
    </row>
    <row r="2505" spans="1:3" x14ac:dyDescent="0.25">
      <c r="A2505" s="6">
        <v>2910541</v>
      </c>
      <c r="B2505" s="6" t="s">
        <v>2625</v>
      </c>
      <c r="C2505" s="77">
        <v>1849785</v>
      </c>
    </row>
    <row r="2506" spans="1:3" x14ac:dyDescent="0.25">
      <c r="A2506" s="6">
        <v>2910542</v>
      </c>
      <c r="B2506" s="6" t="s">
        <v>2626</v>
      </c>
      <c r="C2506" s="77">
        <v>2330729</v>
      </c>
    </row>
    <row r="2507" spans="1:3" x14ac:dyDescent="0.25">
      <c r="A2507" s="6">
        <v>2910554</v>
      </c>
      <c r="B2507" s="6" t="s">
        <v>2627</v>
      </c>
      <c r="C2507" s="77">
        <v>535190</v>
      </c>
    </row>
    <row r="2508" spans="1:3" x14ac:dyDescent="0.25">
      <c r="A2508" s="6">
        <v>2910556</v>
      </c>
      <c r="B2508" s="6" t="s">
        <v>2628</v>
      </c>
      <c r="C2508" s="77">
        <v>606551</v>
      </c>
    </row>
    <row r="2509" spans="1:3" x14ac:dyDescent="0.25">
      <c r="A2509" s="6">
        <v>2910557</v>
      </c>
      <c r="B2509" s="6" t="s">
        <v>2629</v>
      </c>
      <c r="C2509" s="77">
        <v>694356</v>
      </c>
    </row>
    <row r="2510" spans="1:3" x14ac:dyDescent="0.25">
      <c r="A2510" s="6">
        <v>2910558</v>
      </c>
      <c r="B2510" s="6" t="s">
        <v>2630</v>
      </c>
      <c r="C2510" s="77">
        <v>861324</v>
      </c>
    </row>
    <row r="2511" spans="1:3" x14ac:dyDescent="0.25">
      <c r="A2511" s="6">
        <v>2910581</v>
      </c>
      <c r="B2511" s="6" t="s">
        <v>2631</v>
      </c>
      <c r="C2511" s="77">
        <v>324441</v>
      </c>
    </row>
    <row r="2512" spans="1:3" x14ac:dyDescent="0.25">
      <c r="A2512" s="6">
        <v>2910588</v>
      </c>
      <c r="B2512" s="6" t="s">
        <v>2632</v>
      </c>
      <c r="C2512" s="77">
        <v>15649</v>
      </c>
    </row>
    <row r="2513" spans="1:3" x14ac:dyDescent="0.25">
      <c r="A2513" s="6">
        <v>2910589</v>
      </c>
      <c r="B2513" s="6" t="s">
        <v>2633</v>
      </c>
      <c r="C2513" s="77">
        <v>30345</v>
      </c>
    </row>
    <row r="2514" spans="1:3" x14ac:dyDescent="0.25">
      <c r="A2514" s="6">
        <v>2910590</v>
      </c>
      <c r="B2514" s="6" t="s">
        <v>2634</v>
      </c>
      <c r="C2514" s="77">
        <v>6067</v>
      </c>
    </row>
    <row r="2515" spans="1:3" x14ac:dyDescent="0.25">
      <c r="A2515" s="6">
        <v>2910591</v>
      </c>
      <c r="B2515" s="6" t="s">
        <v>2635</v>
      </c>
      <c r="C2515" s="77">
        <v>14214</v>
      </c>
    </row>
    <row r="2516" spans="1:3" x14ac:dyDescent="0.25">
      <c r="A2516" s="6">
        <v>2910592</v>
      </c>
      <c r="B2516" s="6" t="s">
        <v>2636</v>
      </c>
      <c r="C2516" s="77">
        <v>18366</v>
      </c>
    </row>
    <row r="2517" spans="1:3" x14ac:dyDescent="0.25">
      <c r="A2517" s="6">
        <v>2910593</v>
      </c>
      <c r="B2517" s="6" t="s">
        <v>2637</v>
      </c>
      <c r="C2517" s="77">
        <v>17886</v>
      </c>
    </row>
    <row r="2518" spans="1:3" x14ac:dyDescent="0.25">
      <c r="A2518" s="6">
        <v>2910594</v>
      </c>
      <c r="B2518" s="6" t="s">
        <v>2638</v>
      </c>
      <c r="C2518" s="77">
        <v>57495</v>
      </c>
    </row>
    <row r="2519" spans="1:3" x14ac:dyDescent="0.25">
      <c r="A2519" s="6">
        <v>2910595</v>
      </c>
      <c r="B2519" s="6" t="s">
        <v>2639</v>
      </c>
      <c r="C2519" s="77">
        <v>8625</v>
      </c>
    </row>
    <row r="2520" spans="1:3" x14ac:dyDescent="0.25">
      <c r="A2520" s="6">
        <v>2910596</v>
      </c>
      <c r="B2520" s="6" t="s">
        <v>2640</v>
      </c>
      <c r="C2520" s="77">
        <v>9423</v>
      </c>
    </row>
    <row r="2521" spans="1:3" x14ac:dyDescent="0.25">
      <c r="A2521" s="6">
        <v>2910597</v>
      </c>
      <c r="B2521" s="6" t="s">
        <v>2641</v>
      </c>
      <c r="C2521" s="77">
        <v>19165</v>
      </c>
    </row>
    <row r="2522" spans="1:3" x14ac:dyDescent="0.25">
      <c r="A2522" s="6">
        <v>2910653</v>
      </c>
      <c r="B2522" s="6" t="s">
        <v>2642</v>
      </c>
      <c r="C2522" s="77">
        <v>513</v>
      </c>
    </row>
    <row r="2523" spans="1:3" x14ac:dyDescent="0.25">
      <c r="A2523" s="6">
        <v>2910654</v>
      </c>
      <c r="B2523" s="6" t="s">
        <v>2643</v>
      </c>
      <c r="C2523" s="77">
        <v>768</v>
      </c>
    </row>
    <row r="2524" spans="1:3" x14ac:dyDescent="0.25">
      <c r="A2524" s="6">
        <v>2910655</v>
      </c>
      <c r="B2524" s="6" t="s">
        <v>2644</v>
      </c>
      <c r="C2524" s="77">
        <v>1017</v>
      </c>
    </row>
    <row r="2525" spans="1:3" x14ac:dyDescent="0.25">
      <c r="A2525" s="6">
        <v>2910656</v>
      </c>
      <c r="B2525" s="6" t="s">
        <v>2645</v>
      </c>
      <c r="C2525" s="77">
        <v>1908</v>
      </c>
    </row>
    <row r="2526" spans="1:3" x14ac:dyDescent="0.25">
      <c r="A2526" s="6">
        <v>2910657</v>
      </c>
      <c r="B2526" s="6" t="s">
        <v>2646</v>
      </c>
      <c r="C2526" s="77">
        <v>536</v>
      </c>
    </row>
    <row r="2527" spans="1:3" x14ac:dyDescent="0.25">
      <c r="A2527" s="6">
        <v>2910658</v>
      </c>
      <c r="B2527" s="6" t="s">
        <v>2647</v>
      </c>
      <c r="C2527" s="77">
        <v>1116</v>
      </c>
    </row>
    <row r="2528" spans="1:3" x14ac:dyDescent="0.25">
      <c r="A2528" s="6">
        <v>2910659</v>
      </c>
      <c r="B2528" s="6" t="s">
        <v>2648</v>
      </c>
      <c r="C2528" s="77">
        <v>1817</v>
      </c>
    </row>
    <row r="2529" spans="1:3" x14ac:dyDescent="0.25">
      <c r="A2529" s="6">
        <v>2910726</v>
      </c>
      <c r="B2529" s="6" t="s">
        <v>2966</v>
      </c>
      <c r="C2529" s="77">
        <v>79370</v>
      </c>
    </row>
    <row r="2530" spans="1:3" x14ac:dyDescent="0.25">
      <c r="A2530" s="6">
        <v>2910729</v>
      </c>
      <c r="B2530" s="6" t="s">
        <v>2967</v>
      </c>
      <c r="C2530" s="77">
        <v>17248</v>
      </c>
    </row>
    <row r="2531" spans="1:3" x14ac:dyDescent="0.25">
      <c r="A2531" s="6">
        <v>2910781</v>
      </c>
      <c r="B2531" s="6" t="s">
        <v>2649</v>
      </c>
      <c r="C2531" s="77">
        <v>228663</v>
      </c>
    </row>
    <row r="2532" spans="1:3" x14ac:dyDescent="0.25">
      <c r="A2532" s="6">
        <v>2910801</v>
      </c>
      <c r="B2532" s="6" t="s">
        <v>2650</v>
      </c>
      <c r="C2532" s="77">
        <v>129492</v>
      </c>
    </row>
    <row r="2533" spans="1:3" x14ac:dyDescent="0.25">
      <c r="A2533" s="6">
        <v>2910802</v>
      </c>
      <c r="B2533" s="6" t="s">
        <v>2651</v>
      </c>
      <c r="C2533" s="77">
        <v>196117</v>
      </c>
    </row>
    <row r="2534" spans="1:3" x14ac:dyDescent="0.25">
      <c r="A2534" s="6">
        <v>2910851</v>
      </c>
      <c r="B2534" s="6" t="s">
        <v>2968</v>
      </c>
      <c r="C2534" s="77">
        <v>3779262</v>
      </c>
    </row>
    <row r="2535" spans="1:3" x14ac:dyDescent="0.25">
      <c r="A2535" s="6">
        <v>2910888</v>
      </c>
      <c r="B2535" s="6" t="s">
        <v>2652</v>
      </c>
      <c r="C2535" s="77">
        <v>13914561</v>
      </c>
    </row>
    <row r="2536" spans="1:3" x14ac:dyDescent="0.25">
      <c r="A2536" s="6">
        <v>2910889</v>
      </c>
      <c r="B2536" s="6" t="s">
        <v>2653</v>
      </c>
      <c r="C2536" s="77">
        <v>16962849</v>
      </c>
    </row>
    <row r="2537" spans="1:3" x14ac:dyDescent="0.25">
      <c r="A2537" s="6">
        <v>2910937</v>
      </c>
      <c r="B2537" s="6" t="s">
        <v>2654</v>
      </c>
      <c r="C2537" s="77">
        <v>345718</v>
      </c>
    </row>
    <row r="2538" spans="1:3" x14ac:dyDescent="0.25">
      <c r="A2538" s="6">
        <v>2910942</v>
      </c>
      <c r="B2538" s="6" t="s">
        <v>2655</v>
      </c>
      <c r="C2538" s="77">
        <v>11553</v>
      </c>
    </row>
    <row r="2539" spans="1:3" x14ac:dyDescent="0.25">
      <c r="A2539" s="6">
        <v>2910943</v>
      </c>
      <c r="B2539" s="6" t="s">
        <v>2656</v>
      </c>
      <c r="C2539" s="77">
        <v>11949</v>
      </c>
    </row>
    <row r="2540" spans="1:3" x14ac:dyDescent="0.25">
      <c r="A2540" s="6">
        <v>2910944</v>
      </c>
      <c r="B2540" s="6" t="s">
        <v>2657</v>
      </c>
      <c r="C2540" s="77">
        <v>14620</v>
      </c>
    </row>
    <row r="2541" spans="1:3" x14ac:dyDescent="0.25">
      <c r="A2541" s="6">
        <v>2910945</v>
      </c>
      <c r="B2541" s="6" t="s">
        <v>2658</v>
      </c>
      <c r="C2541" s="77">
        <v>6000</v>
      </c>
    </row>
    <row r="2542" spans="1:3" x14ac:dyDescent="0.25">
      <c r="A2542" s="6">
        <v>2910946</v>
      </c>
      <c r="B2542" s="6" t="s">
        <v>2659</v>
      </c>
      <c r="C2542" s="77">
        <v>35953</v>
      </c>
    </row>
    <row r="2543" spans="1:3" x14ac:dyDescent="0.25">
      <c r="A2543" s="6">
        <v>2910947</v>
      </c>
      <c r="B2543" s="6" t="s">
        <v>2660</v>
      </c>
      <c r="C2543" s="77">
        <v>36089</v>
      </c>
    </row>
    <row r="2544" spans="1:3" x14ac:dyDescent="0.25">
      <c r="A2544" s="6">
        <v>2910948</v>
      </c>
      <c r="B2544" s="6" t="s">
        <v>2661</v>
      </c>
      <c r="C2544" s="77">
        <v>32518</v>
      </c>
    </row>
    <row r="2545" spans="1:3" x14ac:dyDescent="0.25">
      <c r="A2545" s="6">
        <v>2910949</v>
      </c>
      <c r="B2545" s="6" t="s">
        <v>2662</v>
      </c>
      <c r="C2545" s="77">
        <v>11651</v>
      </c>
    </row>
    <row r="2546" spans="1:3" x14ac:dyDescent="0.25">
      <c r="A2546" s="6">
        <v>2910950</v>
      </c>
      <c r="B2546" s="6" t="s">
        <v>2663</v>
      </c>
      <c r="C2546" s="77">
        <v>26340</v>
      </c>
    </row>
    <row r="2547" spans="1:3" x14ac:dyDescent="0.25">
      <c r="A2547" s="6">
        <v>2910951</v>
      </c>
      <c r="B2547" s="6" t="s">
        <v>2664</v>
      </c>
      <c r="C2547" s="77">
        <v>16198</v>
      </c>
    </row>
    <row r="2548" spans="1:3" x14ac:dyDescent="0.25">
      <c r="A2548" s="6">
        <v>2910952</v>
      </c>
      <c r="B2548" s="6" t="s">
        <v>2665</v>
      </c>
      <c r="C2548" s="77">
        <v>9682</v>
      </c>
    </row>
    <row r="2549" spans="1:3" x14ac:dyDescent="0.25">
      <c r="A2549" s="6">
        <v>2910953</v>
      </c>
      <c r="B2549" s="6" t="s">
        <v>2666</v>
      </c>
      <c r="C2549" s="77">
        <v>19418</v>
      </c>
    </row>
    <row r="2550" spans="1:3" x14ac:dyDescent="0.25">
      <c r="A2550" s="6">
        <v>2910954</v>
      </c>
      <c r="B2550" s="6" t="s">
        <v>2667</v>
      </c>
      <c r="C2550" s="77">
        <v>13907</v>
      </c>
    </row>
    <row r="2551" spans="1:3" x14ac:dyDescent="0.25">
      <c r="A2551" s="6">
        <v>2910955</v>
      </c>
      <c r="B2551" s="6" t="s">
        <v>2668</v>
      </c>
      <c r="C2551" s="77">
        <v>9502</v>
      </c>
    </row>
    <row r="2552" spans="1:3" x14ac:dyDescent="0.25">
      <c r="A2552" s="6">
        <v>2910956</v>
      </c>
      <c r="B2552" s="6" t="s">
        <v>2669</v>
      </c>
      <c r="C2552" s="77">
        <v>39360</v>
      </c>
    </row>
    <row r="2553" spans="1:3" x14ac:dyDescent="0.25">
      <c r="A2553" s="6">
        <v>2911067</v>
      </c>
      <c r="B2553" s="6" t="s">
        <v>2670</v>
      </c>
      <c r="C2553" s="77">
        <v>1257</v>
      </c>
    </row>
    <row r="2554" spans="1:3" x14ac:dyDescent="0.25">
      <c r="A2554" s="6">
        <v>2911093</v>
      </c>
      <c r="B2554" s="6" t="s">
        <v>2671</v>
      </c>
      <c r="C2554" s="77">
        <v>195455</v>
      </c>
    </row>
    <row r="2555" spans="1:3" x14ac:dyDescent="0.25">
      <c r="A2555" s="6">
        <v>2911094</v>
      </c>
      <c r="B2555" s="6" t="s">
        <v>2672</v>
      </c>
      <c r="C2555" s="77">
        <v>332624</v>
      </c>
    </row>
    <row r="2556" spans="1:3" x14ac:dyDescent="0.25">
      <c r="A2556" s="6">
        <v>2911095</v>
      </c>
      <c r="B2556" s="6" t="s">
        <v>2673</v>
      </c>
      <c r="C2556" s="77">
        <v>709091</v>
      </c>
    </row>
    <row r="2557" spans="1:3" x14ac:dyDescent="0.25">
      <c r="A2557" s="6">
        <v>2911118</v>
      </c>
      <c r="B2557" s="6" t="s">
        <v>2674</v>
      </c>
      <c r="C2557" s="77">
        <v>91005</v>
      </c>
    </row>
    <row r="2558" spans="1:3" x14ac:dyDescent="0.25">
      <c r="A2558" s="6">
        <v>2911119</v>
      </c>
      <c r="B2558" s="6" t="s">
        <v>2675</v>
      </c>
      <c r="C2558" s="77">
        <v>9582</v>
      </c>
    </row>
    <row r="2559" spans="1:3" x14ac:dyDescent="0.25">
      <c r="A2559" s="6">
        <v>2911120</v>
      </c>
      <c r="B2559" s="6" t="s">
        <v>2676</v>
      </c>
      <c r="C2559" s="77">
        <v>9985</v>
      </c>
    </row>
    <row r="2560" spans="1:3" x14ac:dyDescent="0.25">
      <c r="A2560" s="6">
        <v>2911121</v>
      </c>
      <c r="B2560" s="6" t="s">
        <v>2677</v>
      </c>
      <c r="C2560" s="77">
        <v>11703</v>
      </c>
    </row>
    <row r="2561" spans="1:3" x14ac:dyDescent="0.25">
      <c r="A2561" s="6">
        <v>2911122</v>
      </c>
      <c r="B2561" s="6" t="s">
        <v>2678</v>
      </c>
      <c r="C2561" s="77">
        <v>18777</v>
      </c>
    </row>
    <row r="2562" spans="1:3" x14ac:dyDescent="0.25">
      <c r="A2562" s="6">
        <v>2911125</v>
      </c>
      <c r="B2562" s="6" t="s">
        <v>2679</v>
      </c>
      <c r="C2562" s="77">
        <v>164096</v>
      </c>
    </row>
    <row r="2563" spans="1:3" x14ac:dyDescent="0.25">
      <c r="A2563" s="6">
        <v>2911128</v>
      </c>
      <c r="B2563" s="6" t="s">
        <v>2680</v>
      </c>
      <c r="C2563" s="77">
        <v>164096</v>
      </c>
    </row>
    <row r="2564" spans="1:3" x14ac:dyDescent="0.25">
      <c r="A2564" s="6">
        <v>2911215</v>
      </c>
      <c r="B2564" s="6" t="s">
        <v>2969</v>
      </c>
      <c r="C2564" s="77">
        <v>3035033</v>
      </c>
    </row>
    <row r="2565" spans="1:3" x14ac:dyDescent="0.25">
      <c r="A2565" s="6">
        <v>2911296</v>
      </c>
      <c r="B2565" s="6" t="s">
        <v>2681</v>
      </c>
      <c r="C2565" s="77">
        <v>537140</v>
      </c>
    </row>
    <row r="2566" spans="1:3" x14ac:dyDescent="0.25">
      <c r="A2566" s="6">
        <v>2911382</v>
      </c>
      <c r="B2566" s="6" t="s">
        <v>2682</v>
      </c>
      <c r="C2566" s="77">
        <v>769613</v>
      </c>
    </row>
    <row r="2567" spans="1:3" x14ac:dyDescent="0.25">
      <c r="A2567" s="6">
        <v>2911383</v>
      </c>
      <c r="B2567" s="6" t="s">
        <v>2683</v>
      </c>
      <c r="C2567" s="77">
        <v>935760</v>
      </c>
    </row>
    <row r="2568" spans="1:3" x14ac:dyDescent="0.25">
      <c r="A2568" s="6">
        <v>2911384</v>
      </c>
      <c r="B2568" s="6" t="s">
        <v>2684</v>
      </c>
      <c r="C2568" s="77">
        <v>1413710</v>
      </c>
    </row>
    <row r="2569" spans="1:3" x14ac:dyDescent="0.25">
      <c r="A2569" s="6">
        <v>2911385</v>
      </c>
      <c r="B2569" s="6" t="s">
        <v>2685</v>
      </c>
      <c r="C2569" s="77">
        <v>762812</v>
      </c>
    </row>
    <row r="2570" spans="1:3" x14ac:dyDescent="0.25">
      <c r="A2570" s="6">
        <v>2911386</v>
      </c>
      <c r="B2570" s="6" t="s">
        <v>2686</v>
      </c>
      <c r="C2570" s="77">
        <v>1263764</v>
      </c>
    </row>
    <row r="2571" spans="1:3" x14ac:dyDescent="0.25">
      <c r="A2571" s="6">
        <v>2911387</v>
      </c>
      <c r="B2571" s="6" t="s">
        <v>2687</v>
      </c>
      <c r="C2571" s="77">
        <v>2067830</v>
      </c>
    </row>
    <row r="2572" spans="1:3" x14ac:dyDescent="0.25">
      <c r="A2572" s="6">
        <v>2911388</v>
      </c>
      <c r="B2572" s="6" t="s">
        <v>2688</v>
      </c>
      <c r="C2572" s="77">
        <v>898952</v>
      </c>
    </row>
    <row r="2573" spans="1:3" x14ac:dyDescent="0.25">
      <c r="A2573" s="6">
        <v>2911389</v>
      </c>
      <c r="B2573" s="6" t="s">
        <v>2689</v>
      </c>
      <c r="C2573" s="77">
        <v>1359399</v>
      </c>
    </row>
    <row r="2574" spans="1:3" x14ac:dyDescent="0.25">
      <c r="A2574" s="6">
        <v>2911390</v>
      </c>
      <c r="B2574" s="6" t="s">
        <v>2690</v>
      </c>
      <c r="C2574" s="77">
        <v>2201777</v>
      </c>
    </row>
    <row r="2575" spans="1:3" x14ac:dyDescent="0.25">
      <c r="A2575" s="6">
        <v>2911391</v>
      </c>
      <c r="B2575" s="6" t="s">
        <v>2691</v>
      </c>
      <c r="C2575" s="77">
        <v>882862</v>
      </c>
    </row>
    <row r="2576" spans="1:3" x14ac:dyDescent="0.25">
      <c r="A2576" s="6">
        <v>2911392</v>
      </c>
      <c r="B2576" s="6" t="s">
        <v>2692</v>
      </c>
      <c r="C2576" s="77">
        <v>1294179</v>
      </c>
    </row>
    <row r="2577" spans="1:3" x14ac:dyDescent="0.25">
      <c r="A2577" s="6">
        <v>2911393</v>
      </c>
      <c r="B2577" s="6" t="s">
        <v>2693</v>
      </c>
      <c r="C2577" s="77">
        <v>1586634</v>
      </c>
    </row>
    <row r="2578" spans="1:3" x14ac:dyDescent="0.25">
      <c r="A2578" s="6">
        <v>2911394</v>
      </c>
      <c r="B2578" s="6" t="s">
        <v>2694</v>
      </c>
      <c r="C2578" s="77">
        <v>390864</v>
      </c>
    </row>
    <row r="2579" spans="1:3" x14ac:dyDescent="0.25">
      <c r="A2579" s="6">
        <v>2911395</v>
      </c>
      <c r="B2579" s="6" t="s">
        <v>2695</v>
      </c>
      <c r="C2579" s="77">
        <v>799960</v>
      </c>
    </row>
    <row r="2580" spans="1:3" x14ac:dyDescent="0.25">
      <c r="A2580" s="6">
        <v>2911396</v>
      </c>
      <c r="B2580" s="6" t="s">
        <v>2696</v>
      </c>
      <c r="C2580" s="77">
        <v>1150281</v>
      </c>
    </row>
    <row r="2581" spans="1:3" x14ac:dyDescent="0.25">
      <c r="A2581" s="6">
        <v>2911397</v>
      </c>
      <c r="B2581" s="6" t="s">
        <v>2697</v>
      </c>
      <c r="C2581" s="77">
        <v>372806</v>
      </c>
    </row>
    <row r="2582" spans="1:3" x14ac:dyDescent="0.25">
      <c r="A2582" s="6">
        <v>2911398</v>
      </c>
      <c r="B2582" s="6" t="s">
        <v>2698</v>
      </c>
      <c r="C2582" s="77">
        <v>636108</v>
      </c>
    </row>
    <row r="2583" spans="1:3" x14ac:dyDescent="0.25">
      <c r="A2583" s="6">
        <v>2911399</v>
      </c>
      <c r="B2583" s="6" t="s">
        <v>2699</v>
      </c>
      <c r="C2583" s="77">
        <v>1068025</v>
      </c>
    </row>
    <row r="2584" spans="1:3" x14ac:dyDescent="0.25">
      <c r="A2584" s="6">
        <v>2911400</v>
      </c>
      <c r="B2584" s="6" t="s">
        <v>2700</v>
      </c>
      <c r="C2584" s="77">
        <v>1042969</v>
      </c>
    </row>
    <row r="2585" spans="1:3" x14ac:dyDescent="0.25">
      <c r="A2585" s="6">
        <v>2911401</v>
      </c>
      <c r="B2585" s="6" t="s">
        <v>2701</v>
      </c>
      <c r="C2585" s="77">
        <v>1755442</v>
      </c>
    </row>
    <row r="2586" spans="1:3" x14ac:dyDescent="0.25">
      <c r="A2586" s="6">
        <v>2911402</v>
      </c>
      <c r="B2586" s="6" t="s">
        <v>2702</v>
      </c>
      <c r="C2586" s="77">
        <v>2594697</v>
      </c>
    </row>
    <row r="2587" spans="1:3" x14ac:dyDescent="0.25">
      <c r="A2587" s="6">
        <v>2911403</v>
      </c>
      <c r="B2587" s="6" t="s">
        <v>2703</v>
      </c>
      <c r="C2587" s="77">
        <v>1427125</v>
      </c>
    </row>
    <row r="2588" spans="1:3" x14ac:dyDescent="0.25">
      <c r="A2588" s="6">
        <v>2911404</v>
      </c>
      <c r="B2588" s="6" t="s">
        <v>2704</v>
      </c>
      <c r="C2588" s="77">
        <v>2042595</v>
      </c>
    </row>
    <row r="2589" spans="1:3" x14ac:dyDescent="0.25">
      <c r="A2589" s="6">
        <v>2911405</v>
      </c>
      <c r="B2589" s="6" t="s">
        <v>2705</v>
      </c>
      <c r="C2589" s="77">
        <v>2132299</v>
      </c>
    </row>
    <row r="2590" spans="1:3" x14ac:dyDescent="0.25">
      <c r="A2590" s="6">
        <v>2911406</v>
      </c>
      <c r="B2590" s="6" t="s">
        <v>2706</v>
      </c>
      <c r="C2590" s="77">
        <v>811198</v>
      </c>
    </row>
    <row r="2591" spans="1:3" x14ac:dyDescent="0.25">
      <c r="A2591" s="6">
        <v>2911407</v>
      </c>
      <c r="B2591" s="6" t="s">
        <v>2707</v>
      </c>
      <c r="C2591" s="77">
        <v>1209573</v>
      </c>
    </row>
    <row r="2592" spans="1:3" x14ac:dyDescent="0.25">
      <c r="A2592" s="6">
        <v>2911408</v>
      </c>
      <c r="B2592" s="6" t="s">
        <v>2708</v>
      </c>
      <c r="C2592" s="77">
        <v>1602474</v>
      </c>
    </row>
    <row r="2593" spans="1:3" x14ac:dyDescent="0.25">
      <c r="A2593" s="6">
        <v>2911409</v>
      </c>
      <c r="B2593" s="6" t="s">
        <v>2709</v>
      </c>
      <c r="C2593" s="194">
        <v>673082</v>
      </c>
    </row>
    <row r="2594" spans="1:3" x14ac:dyDescent="0.25">
      <c r="A2594" s="6">
        <v>2911410</v>
      </c>
      <c r="B2594" s="6" t="s">
        <v>2710</v>
      </c>
      <c r="C2594" s="194">
        <v>673082</v>
      </c>
    </row>
    <row r="2595" spans="1:3" x14ac:dyDescent="0.25">
      <c r="A2595" s="6">
        <v>2911411</v>
      </c>
      <c r="B2595" s="6" t="s">
        <v>2711</v>
      </c>
      <c r="C2595" s="194">
        <v>706737</v>
      </c>
    </row>
    <row r="2596" spans="1:3" x14ac:dyDescent="0.25">
      <c r="A2596" s="6">
        <v>2911412</v>
      </c>
      <c r="B2596" s="6" t="s">
        <v>2712</v>
      </c>
      <c r="C2596" s="194">
        <v>742072</v>
      </c>
    </row>
    <row r="2597" spans="1:3" x14ac:dyDescent="0.25">
      <c r="A2597" s="6">
        <v>2911413</v>
      </c>
      <c r="B2597" s="6" t="s">
        <v>2713</v>
      </c>
      <c r="C2597" s="194">
        <v>738532</v>
      </c>
    </row>
    <row r="2598" spans="1:3" x14ac:dyDescent="0.25">
      <c r="A2598" s="6">
        <v>2911414</v>
      </c>
      <c r="B2598" s="6" t="s">
        <v>2714</v>
      </c>
      <c r="C2598" s="194">
        <v>738532</v>
      </c>
    </row>
    <row r="2599" spans="1:3" x14ac:dyDescent="0.25">
      <c r="A2599" s="6">
        <v>2911415</v>
      </c>
      <c r="B2599" s="6" t="s">
        <v>2715</v>
      </c>
      <c r="C2599" s="194">
        <v>863540</v>
      </c>
    </row>
    <row r="2600" spans="1:3" x14ac:dyDescent="0.25">
      <c r="A2600" s="6">
        <v>2911416</v>
      </c>
      <c r="B2600" s="6" t="s">
        <v>2716</v>
      </c>
      <c r="C2600" s="194">
        <v>997921</v>
      </c>
    </row>
    <row r="2601" spans="1:3" x14ac:dyDescent="0.25">
      <c r="A2601" s="6">
        <v>2911417</v>
      </c>
      <c r="B2601" s="6" t="s">
        <v>2717</v>
      </c>
      <c r="C2601" s="194">
        <v>641031</v>
      </c>
    </row>
    <row r="2602" spans="1:3" x14ac:dyDescent="0.25">
      <c r="A2602" s="6">
        <v>2911418</v>
      </c>
      <c r="B2602" s="6" t="s">
        <v>2718</v>
      </c>
      <c r="C2602" s="194">
        <v>738532</v>
      </c>
    </row>
    <row r="2603" spans="1:3" x14ac:dyDescent="0.25">
      <c r="A2603" s="6">
        <v>2911419</v>
      </c>
      <c r="B2603" s="6" t="s">
        <v>2719</v>
      </c>
      <c r="C2603" s="194">
        <v>738532</v>
      </c>
    </row>
    <row r="2604" spans="1:3" x14ac:dyDescent="0.25">
      <c r="A2604" s="6">
        <v>2911420</v>
      </c>
      <c r="B2604" s="6" t="s">
        <v>2720</v>
      </c>
      <c r="C2604" s="194">
        <v>705134</v>
      </c>
    </row>
    <row r="2605" spans="1:3" x14ac:dyDescent="0.25">
      <c r="A2605" s="6">
        <v>2911421</v>
      </c>
      <c r="B2605" s="6" t="s">
        <v>2721</v>
      </c>
      <c r="C2605" s="194">
        <v>812385</v>
      </c>
    </row>
    <row r="2606" spans="1:3" x14ac:dyDescent="0.25">
      <c r="A2606" s="6">
        <v>2911422</v>
      </c>
      <c r="B2606" s="6" t="s">
        <v>2970</v>
      </c>
      <c r="C2606" s="194">
        <v>812385</v>
      </c>
    </row>
    <row r="2607" spans="1:3" x14ac:dyDescent="0.25">
      <c r="A2607" s="6">
        <v>2911423</v>
      </c>
      <c r="B2607" s="6" t="s">
        <v>2971</v>
      </c>
      <c r="C2607" s="194">
        <v>812385</v>
      </c>
    </row>
    <row r="2608" spans="1:3" x14ac:dyDescent="0.25">
      <c r="A2608" s="6">
        <v>2911424</v>
      </c>
      <c r="B2608" s="6" t="s">
        <v>2722</v>
      </c>
      <c r="C2608" s="194">
        <v>812385</v>
      </c>
    </row>
    <row r="2609" spans="1:3" x14ac:dyDescent="0.25">
      <c r="A2609" s="6">
        <v>2911425</v>
      </c>
      <c r="B2609" s="6" t="s">
        <v>2972</v>
      </c>
      <c r="C2609" s="194">
        <v>949892</v>
      </c>
    </row>
    <row r="2610" spans="1:3" x14ac:dyDescent="0.25">
      <c r="A2610" s="6">
        <v>2911426</v>
      </c>
      <c r="B2610" s="6" t="s">
        <v>2973</v>
      </c>
      <c r="C2610" s="194">
        <v>1097713</v>
      </c>
    </row>
    <row r="2611" spans="1:3" x14ac:dyDescent="0.25">
      <c r="A2611" s="6">
        <v>2911427</v>
      </c>
      <c r="B2611" s="6" t="s">
        <v>2723</v>
      </c>
      <c r="C2611" s="194">
        <v>775647</v>
      </c>
    </row>
    <row r="2612" spans="1:3" x14ac:dyDescent="0.25">
      <c r="A2612" s="6">
        <v>2911428</v>
      </c>
      <c r="B2612" s="6" t="s">
        <v>2724</v>
      </c>
      <c r="C2612" s="194">
        <v>893623</v>
      </c>
    </row>
    <row r="2613" spans="1:3" x14ac:dyDescent="0.25">
      <c r="A2613" s="6">
        <v>2911429</v>
      </c>
      <c r="B2613" s="6" t="s">
        <v>2725</v>
      </c>
      <c r="C2613" s="194">
        <v>893623</v>
      </c>
    </row>
    <row r="2614" spans="1:3" x14ac:dyDescent="0.25">
      <c r="A2614" s="6">
        <v>2911430</v>
      </c>
      <c r="B2614" s="6" t="s">
        <v>2726</v>
      </c>
      <c r="C2614" s="194">
        <v>893623</v>
      </c>
    </row>
    <row r="2615" spans="1:3" x14ac:dyDescent="0.25">
      <c r="A2615" s="6">
        <v>2911431</v>
      </c>
      <c r="B2615" s="6" t="s">
        <v>2727</v>
      </c>
      <c r="C2615" s="194">
        <v>893623</v>
      </c>
    </row>
    <row r="2616" spans="1:3" x14ac:dyDescent="0.25">
      <c r="A2616" s="6">
        <v>2911432</v>
      </c>
      <c r="B2616" s="6" t="s">
        <v>2974</v>
      </c>
      <c r="C2616" s="194">
        <v>1044883</v>
      </c>
    </row>
    <row r="2617" spans="1:3" x14ac:dyDescent="0.25">
      <c r="A2617" s="6">
        <v>2911433</v>
      </c>
      <c r="B2617" s="6" t="s">
        <v>2975</v>
      </c>
      <c r="C2617" s="194">
        <v>1207484</v>
      </c>
    </row>
    <row r="2618" spans="1:3" x14ac:dyDescent="0.25">
      <c r="A2618" s="6">
        <v>2911434</v>
      </c>
      <c r="B2618" s="6" t="s">
        <v>2728</v>
      </c>
      <c r="C2618" s="194">
        <v>1071293</v>
      </c>
    </row>
    <row r="2619" spans="1:3" x14ac:dyDescent="0.25">
      <c r="A2619" s="6">
        <v>2911435</v>
      </c>
      <c r="B2619" s="6" t="s">
        <v>2729</v>
      </c>
      <c r="C2619" s="194">
        <v>1124858</v>
      </c>
    </row>
    <row r="2620" spans="1:3" x14ac:dyDescent="0.25">
      <c r="A2620" s="6">
        <v>2911436</v>
      </c>
      <c r="B2620" s="6" t="s">
        <v>2976</v>
      </c>
      <c r="C2620" s="194">
        <v>1124858</v>
      </c>
    </row>
    <row r="2621" spans="1:3" x14ac:dyDescent="0.25">
      <c r="A2621" s="6">
        <v>2911437</v>
      </c>
      <c r="B2621" s="6" t="s">
        <v>2730</v>
      </c>
      <c r="C2621" s="194">
        <v>1124858</v>
      </c>
    </row>
    <row r="2622" spans="1:3" x14ac:dyDescent="0.25">
      <c r="A2622" s="6">
        <v>2911438</v>
      </c>
      <c r="B2622" s="6" t="s">
        <v>2731</v>
      </c>
      <c r="C2622" s="194">
        <v>1124858</v>
      </c>
    </row>
    <row r="2623" spans="1:3" x14ac:dyDescent="0.25">
      <c r="A2623" s="6">
        <v>2911439</v>
      </c>
      <c r="B2623" s="6" t="s">
        <v>2732</v>
      </c>
      <c r="C2623" s="194">
        <v>1181101</v>
      </c>
    </row>
    <row r="2624" spans="1:3" x14ac:dyDescent="0.25">
      <c r="A2624" s="6">
        <v>2911440</v>
      </c>
      <c r="B2624" s="6" t="s">
        <v>2977</v>
      </c>
      <c r="C2624" s="194">
        <v>1240155</v>
      </c>
    </row>
    <row r="2625" spans="1:3" x14ac:dyDescent="0.25">
      <c r="A2625" s="6">
        <v>2911441</v>
      </c>
      <c r="B2625" s="6" t="s">
        <v>2733</v>
      </c>
      <c r="C2625" s="194">
        <v>1178423</v>
      </c>
    </row>
    <row r="2626" spans="1:3" x14ac:dyDescent="0.25">
      <c r="A2626" s="6">
        <v>2911442</v>
      </c>
      <c r="B2626" s="6" t="s">
        <v>2734</v>
      </c>
      <c r="C2626" s="194">
        <v>1237343</v>
      </c>
    </row>
    <row r="2627" spans="1:3" x14ac:dyDescent="0.25">
      <c r="A2627" s="6">
        <v>2911443</v>
      </c>
      <c r="B2627" s="6" t="s">
        <v>2978</v>
      </c>
      <c r="C2627" s="194">
        <v>1237343</v>
      </c>
    </row>
    <row r="2628" spans="1:3" x14ac:dyDescent="0.25">
      <c r="A2628" s="6">
        <v>2911444</v>
      </c>
      <c r="B2628" s="6" t="s">
        <v>2979</v>
      </c>
      <c r="C2628" s="194">
        <v>1237343</v>
      </c>
    </row>
    <row r="2629" spans="1:3" x14ac:dyDescent="0.25">
      <c r="A2629" s="6">
        <v>2911445</v>
      </c>
      <c r="B2629" s="6" t="s">
        <v>2980</v>
      </c>
      <c r="C2629" s="194">
        <v>1237343</v>
      </c>
    </row>
    <row r="2630" spans="1:3" x14ac:dyDescent="0.25">
      <c r="A2630" s="6">
        <v>2911446</v>
      </c>
      <c r="B2630" s="6" t="s">
        <v>2735</v>
      </c>
      <c r="C2630" s="194">
        <v>1299211</v>
      </c>
    </row>
    <row r="2631" spans="1:3" x14ac:dyDescent="0.25">
      <c r="A2631" s="6">
        <v>2911447</v>
      </c>
      <c r="B2631" s="6" t="s">
        <v>2981</v>
      </c>
      <c r="C2631" s="194">
        <v>1364171</v>
      </c>
    </row>
    <row r="2632" spans="1:3" x14ac:dyDescent="0.25">
      <c r="A2632" s="6">
        <v>2911448</v>
      </c>
      <c r="B2632" s="6" t="s">
        <v>2982</v>
      </c>
      <c r="C2632" s="194">
        <v>1296266</v>
      </c>
    </row>
    <row r="2633" spans="1:3" x14ac:dyDescent="0.25">
      <c r="A2633" s="6">
        <v>2911449</v>
      </c>
      <c r="B2633" s="6" t="s">
        <v>2736</v>
      </c>
      <c r="C2633" s="194">
        <v>1361079</v>
      </c>
    </row>
    <row r="2634" spans="1:3" x14ac:dyDescent="0.25">
      <c r="A2634" s="6">
        <v>2911450</v>
      </c>
      <c r="B2634" s="6" t="s">
        <v>2983</v>
      </c>
      <c r="C2634" s="194">
        <v>1361079</v>
      </c>
    </row>
    <row r="2635" spans="1:3" x14ac:dyDescent="0.25">
      <c r="A2635" s="6">
        <v>2911451</v>
      </c>
      <c r="B2635" s="6" t="s">
        <v>2984</v>
      </c>
      <c r="C2635" s="194">
        <v>1361079</v>
      </c>
    </row>
    <row r="2636" spans="1:3" x14ac:dyDescent="0.25">
      <c r="A2636" s="6">
        <v>2911452</v>
      </c>
      <c r="B2636" s="6" t="s">
        <v>2985</v>
      </c>
      <c r="C2636" s="194">
        <v>1361079</v>
      </c>
    </row>
    <row r="2637" spans="1:3" x14ac:dyDescent="0.25">
      <c r="A2637" s="6">
        <v>2911453</v>
      </c>
      <c r="B2637" s="6" t="s">
        <v>2986</v>
      </c>
      <c r="C2637" s="194">
        <v>1429133</v>
      </c>
    </row>
    <row r="2638" spans="1:3" x14ac:dyDescent="0.25">
      <c r="A2638" s="6">
        <v>2911454</v>
      </c>
      <c r="B2638" s="6" t="s">
        <v>2987</v>
      </c>
      <c r="C2638" s="194">
        <v>1500589</v>
      </c>
    </row>
    <row r="2639" spans="1:3" x14ac:dyDescent="0.25">
      <c r="A2639" s="6">
        <v>2911850</v>
      </c>
      <c r="B2639" s="6" t="s">
        <v>2737</v>
      </c>
      <c r="C2639" s="194">
        <v>22370</v>
      </c>
    </row>
    <row r="2640" spans="1:3" x14ac:dyDescent="0.25">
      <c r="A2640" s="6">
        <v>2911851</v>
      </c>
      <c r="B2640" s="6" t="s">
        <v>2738</v>
      </c>
      <c r="C2640" s="194">
        <v>22370</v>
      </c>
    </row>
    <row r="2641" spans="1:3" x14ac:dyDescent="0.25">
      <c r="A2641" s="6">
        <v>2911852</v>
      </c>
      <c r="B2641" s="6" t="s">
        <v>2739</v>
      </c>
      <c r="C2641" s="194">
        <v>26098</v>
      </c>
    </row>
    <row r="2642" spans="1:3" x14ac:dyDescent="0.25">
      <c r="A2642" s="6">
        <v>2911853</v>
      </c>
      <c r="B2642" s="6" t="s">
        <v>2740</v>
      </c>
      <c r="C2642" s="194">
        <v>41068</v>
      </c>
    </row>
    <row r="2643" spans="1:3" x14ac:dyDescent="0.25">
      <c r="A2643" s="6">
        <v>2911854</v>
      </c>
      <c r="B2643" s="6" t="s">
        <v>2741</v>
      </c>
      <c r="C2643" s="194">
        <v>41068</v>
      </c>
    </row>
    <row r="2644" spans="1:3" x14ac:dyDescent="0.25">
      <c r="A2644" s="6">
        <v>2911855</v>
      </c>
      <c r="B2644" s="6" t="s">
        <v>2742</v>
      </c>
      <c r="C2644" s="194">
        <v>28277</v>
      </c>
    </row>
    <row r="2645" spans="1:3" x14ac:dyDescent="0.25">
      <c r="A2645" s="6">
        <v>2911856</v>
      </c>
      <c r="B2645" s="6" t="s">
        <v>2743</v>
      </c>
      <c r="C2645" s="194">
        <v>19279</v>
      </c>
    </row>
    <row r="2646" spans="1:3" x14ac:dyDescent="0.25">
      <c r="A2646" s="6">
        <v>2911857</v>
      </c>
      <c r="B2646" s="6" t="s">
        <v>2744</v>
      </c>
      <c r="C2646" s="194">
        <v>19279</v>
      </c>
    </row>
    <row r="2647" spans="1:3" x14ac:dyDescent="0.25">
      <c r="A2647" s="6">
        <v>2911858</v>
      </c>
      <c r="B2647" s="6" t="s">
        <v>2745</v>
      </c>
      <c r="C2647" s="194">
        <v>23563</v>
      </c>
    </row>
    <row r="2648" spans="1:3" x14ac:dyDescent="0.25">
      <c r="A2648" s="6">
        <v>2911859</v>
      </c>
      <c r="B2648" s="6" t="s">
        <v>2746</v>
      </c>
      <c r="C2648" s="194">
        <v>19522</v>
      </c>
    </row>
    <row r="2649" spans="1:3" x14ac:dyDescent="0.25">
      <c r="A2649" s="6">
        <v>2911860</v>
      </c>
      <c r="B2649" s="6" t="s">
        <v>2747</v>
      </c>
      <c r="C2649" s="194">
        <v>22819</v>
      </c>
    </row>
    <row r="2650" spans="1:3" x14ac:dyDescent="0.25">
      <c r="A2650" s="6">
        <v>2911861</v>
      </c>
      <c r="B2650" s="6" t="s">
        <v>2748</v>
      </c>
      <c r="C2650" s="194">
        <v>32558</v>
      </c>
    </row>
    <row r="2651" spans="1:3" x14ac:dyDescent="0.25">
      <c r="A2651" s="6">
        <v>2911862</v>
      </c>
      <c r="B2651" s="6" t="s">
        <v>2749</v>
      </c>
      <c r="C2651" s="194">
        <v>32558</v>
      </c>
    </row>
    <row r="2652" spans="1:3" x14ac:dyDescent="0.25">
      <c r="A2652" s="6">
        <v>2911863</v>
      </c>
      <c r="B2652" s="6" t="s">
        <v>2750</v>
      </c>
      <c r="C2652" s="194">
        <v>27582</v>
      </c>
    </row>
    <row r="2653" spans="1:3" x14ac:dyDescent="0.25">
      <c r="A2653" s="6">
        <v>2911864</v>
      </c>
      <c r="B2653" s="6" t="s">
        <v>2751</v>
      </c>
      <c r="C2653" s="194">
        <v>17002</v>
      </c>
    </row>
    <row r="2654" spans="1:3" x14ac:dyDescent="0.25">
      <c r="A2654" s="6">
        <v>2911865</v>
      </c>
      <c r="B2654" s="6" t="s">
        <v>2752</v>
      </c>
      <c r="C2654" s="194">
        <v>17002</v>
      </c>
    </row>
    <row r="2655" spans="1:3" x14ac:dyDescent="0.25">
      <c r="A2655" s="6">
        <v>2911866</v>
      </c>
      <c r="B2655" s="6" t="s">
        <v>2988</v>
      </c>
      <c r="C2655" s="194">
        <v>24662</v>
      </c>
    </row>
    <row r="2656" spans="1:3" x14ac:dyDescent="0.25">
      <c r="A2656" s="6">
        <v>2911867</v>
      </c>
      <c r="B2656" s="6" t="s">
        <v>2753</v>
      </c>
      <c r="C2656" s="194">
        <v>15701</v>
      </c>
    </row>
    <row r="2657" spans="1:3" x14ac:dyDescent="0.25">
      <c r="A2657" s="6">
        <v>2911868</v>
      </c>
      <c r="B2657" s="6" t="s">
        <v>2754</v>
      </c>
      <c r="C2657" s="194">
        <v>17186</v>
      </c>
    </row>
    <row r="2658" spans="1:3" x14ac:dyDescent="0.25">
      <c r="A2658" s="6">
        <v>2911869</v>
      </c>
      <c r="B2658" s="6" t="s">
        <v>2755</v>
      </c>
      <c r="C2658" s="194">
        <v>37778</v>
      </c>
    </row>
    <row r="2659" spans="1:3" x14ac:dyDescent="0.25">
      <c r="A2659" s="6">
        <v>2911870</v>
      </c>
      <c r="B2659" s="6" t="s">
        <v>2756</v>
      </c>
      <c r="C2659" s="194">
        <v>8441</v>
      </c>
    </row>
    <row r="2660" spans="1:3" x14ac:dyDescent="0.25">
      <c r="A2660" s="6">
        <v>2911871</v>
      </c>
      <c r="B2660" s="6" t="s">
        <v>2757</v>
      </c>
      <c r="C2660" s="194">
        <v>8606</v>
      </c>
    </row>
    <row r="2661" spans="1:3" x14ac:dyDescent="0.25">
      <c r="A2661" s="6">
        <v>2911872</v>
      </c>
      <c r="B2661" s="6" t="s">
        <v>2758</v>
      </c>
      <c r="C2661" s="194">
        <v>9660</v>
      </c>
    </row>
    <row r="2662" spans="1:3" x14ac:dyDescent="0.25">
      <c r="A2662" s="6">
        <v>2911873</v>
      </c>
      <c r="B2662" s="6" t="s">
        <v>2759</v>
      </c>
      <c r="C2662" s="194">
        <v>19721</v>
      </c>
    </row>
    <row r="2663" spans="1:3" x14ac:dyDescent="0.25">
      <c r="A2663" s="6">
        <v>2911972</v>
      </c>
      <c r="B2663" s="6" t="s">
        <v>2989</v>
      </c>
      <c r="C2663" s="194">
        <v>8116416</v>
      </c>
    </row>
    <row r="2664" spans="1:3" x14ac:dyDescent="0.25">
      <c r="A2664" s="6">
        <v>2911973</v>
      </c>
      <c r="B2664" s="6" t="s">
        <v>2990</v>
      </c>
      <c r="C2664" s="194">
        <v>9204814</v>
      </c>
    </row>
    <row r="2665" spans="1:3" x14ac:dyDescent="0.25">
      <c r="A2665" s="6">
        <v>2912040</v>
      </c>
      <c r="B2665" s="6" t="s">
        <v>2991</v>
      </c>
      <c r="C2665" s="194">
        <v>487975.40125724446</v>
      </c>
    </row>
    <row r="2666" spans="1:3" x14ac:dyDescent="0.25">
      <c r="A2666" s="6">
        <v>2912041</v>
      </c>
      <c r="B2666" s="6" t="s">
        <v>2992</v>
      </c>
      <c r="C2666" s="194">
        <v>166154.13750133335</v>
      </c>
    </row>
    <row r="2667" spans="1:3" x14ac:dyDescent="0.25">
      <c r="A2667" s="6">
        <v>2912042</v>
      </c>
      <c r="B2667" s="6" t="s">
        <v>2993</v>
      </c>
      <c r="C2667" s="194">
        <v>133192.71194008889</v>
      </c>
    </row>
    <row r="2668" spans="1:3" x14ac:dyDescent="0.25">
      <c r="A2668" s="6">
        <v>2912043</v>
      </c>
      <c r="B2668" s="6" t="s">
        <v>2994</v>
      </c>
      <c r="C2668" s="194">
        <v>214770.37208853336</v>
      </c>
    </row>
    <row r="2669" spans="1:3" x14ac:dyDescent="0.25">
      <c r="A2669" s="6">
        <v>2912044</v>
      </c>
      <c r="B2669" s="6" t="s">
        <v>2995</v>
      </c>
      <c r="C2669" s="194">
        <v>2044103.9270499558</v>
      </c>
    </row>
    <row r="2670" spans="1:3" x14ac:dyDescent="0.25">
      <c r="A2670" s="6">
        <v>2001996</v>
      </c>
      <c r="B2670" s="6" t="s">
        <v>3059</v>
      </c>
      <c r="C2670" s="194">
        <v>0</v>
      </c>
    </row>
    <row r="2671" spans="1:3" x14ac:dyDescent="0.25">
      <c r="A2671" s="6">
        <v>9999998</v>
      </c>
      <c r="B2671" s="6" t="s">
        <v>2996</v>
      </c>
      <c r="C2671" s="194">
        <v>0</v>
      </c>
    </row>
    <row r="2672" spans="1:3" x14ac:dyDescent="0.25">
      <c r="A2672" s="6">
        <v>9999999</v>
      </c>
      <c r="B2672" s="6" t="s">
        <v>3025</v>
      </c>
      <c r="C2672" s="194">
        <v>0</v>
      </c>
    </row>
  </sheetData>
  <sheetProtection algorithmName="SHA-512" hashValue="Voa0YI/w6EDbNObZ/X3TbR4yQPUdoCbaNmpxynaI3joGrUBRybma812tEvJFVmnakLNz8W74yOioGrqpN8vCpQ==" saltValue="IfzFwVGeBJIgFcgVHi3AAw==" spinCount="100000" sheet="1" objects="1" scenarios="1" selectLockedCells="1" selectUnlockedCells="1"/>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588F5-B3C4-4597-AA1C-3553A342A7FD}">
  <sheetPr codeName="Hoja14">
    <pageSetUpPr autoPageBreaks="0"/>
  </sheetPr>
  <dimension ref="A1:S43"/>
  <sheetViews>
    <sheetView showGridLines="0" showRowColHeaders="0" zoomScale="80" zoomScaleNormal="80" workbookViewId="0">
      <selection activeCell="H9" sqref="H9:M9"/>
    </sheetView>
  </sheetViews>
  <sheetFormatPr baseColWidth="10" defaultColWidth="0" defaultRowHeight="15" zeroHeight="1" x14ac:dyDescent="0.25"/>
  <cols>
    <col min="1" max="17" width="11.42578125" style="120" customWidth="1"/>
    <col min="18" max="18" width="15.85546875" style="120" customWidth="1"/>
    <col min="19" max="21" width="11.42578125" style="120" hidden="1" customWidth="1"/>
    <col min="22" max="16384" width="11.42578125" style="120" hidden="1"/>
  </cols>
  <sheetData>
    <row r="1" spans="1:19" ht="15" customHeight="1" x14ac:dyDescent="1.05">
      <c r="A1" s="297" t="s">
        <v>3</v>
      </c>
      <c r="B1" s="297"/>
      <c r="C1" s="297"/>
      <c r="D1" s="297"/>
      <c r="E1" s="215"/>
      <c r="F1" s="128"/>
      <c r="G1" s="128"/>
      <c r="H1" s="128"/>
      <c r="I1" s="128"/>
      <c r="J1" s="128"/>
      <c r="K1" s="128"/>
      <c r="L1" s="128"/>
      <c r="M1" s="128"/>
      <c r="N1" s="128"/>
      <c r="O1" s="298" t="s">
        <v>1</v>
      </c>
      <c r="P1" s="298"/>
      <c r="Q1" s="298"/>
      <c r="R1" s="298"/>
      <c r="S1" s="121"/>
    </row>
    <row r="2" spans="1:19" ht="15" customHeight="1" x14ac:dyDescent="1.05">
      <c r="A2" s="297"/>
      <c r="B2" s="297"/>
      <c r="C2" s="297"/>
      <c r="D2" s="297"/>
      <c r="E2" s="215"/>
      <c r="F2" s="128"/>
      <c r="G2" s="128"/>
      <c r="H2" s="128"/>
      <c r="I2" s="128"/>
      <c r="J2" s="128"/>
      <c r="K2" s="128"/>
      <c r="L2" s="128"/>
      <c r="M2" s="128"/>
      <c r="N2" s="128"/>
      <c r="O2" s="298"/>
      <c r="P2" s="298"/>
      <c r="Q2" s="298"/>
      <c r="R2" s="298"/>
      <c r="S2" s="121"/>
    </row>
    <row r="3" spans="1:19" ht="15" customHeight="1" x14ac:dyDescent="1.05">
      <c r="A3" s="297"/>
      <c r="B3" s="297"/>
      <c r="C3" s="297"/>
      <c r="D3" s="297"/>
      <c r="E3" s="215"/>
      <c r="F3" s="128"/>
      <c r="G3" s="128"/>
      <c r="H3" s="128"/>
      <c r="I3" s="128"/>
      <c r="J3" s="128"/>
      <c r="K3" s="128"/>
      <c r="L3" s="128"/>
      <c r="M3" s="128"/>
      <c r="N3" s="128"/>
      <c r="O3" s="298"/>
      <c r="P3" s="298"/>
      <c r="Q3" s="298"/>
      <c r="R3" s="298"/>
      <c r="S3" s="121"/>
    </row>
    <row r="4" spans="1:19" ht="15" customHeight="1" x14ac:dyDescent="1.05">
      <c r="A4" s="297"/>
      <c r="B4" s="297"/>
      <c r="C4" s="297"/>
      <c r="D4" s="297"/>
      <c r="E4" s="215"/>
      <c r="F4" s="128"/>
      <c r="G4" s="128"/>
      <c r="H4" s="128"/>
      <c r="I4" s="128"/>
      <c r="J4" s="128"/>
      <c r="K4" s="128"/>
      <c r="L4" s="128"/>
      <c r="M4" s="128"/>
      <c r="N4" s="128"/>
      <c r="O4" s="298"/>
      <c r="P4" s="298"/>
      <c r="Q4" s="298"/>
      <c r="R4" s="298"/>
      <c r="S4" s="121"/>
    </row>
    <row r="5" spans="1:19" ht="15" customHeight="1" x14ac:dyDescent="1.05">
      <c r="A5" s="297"/>
      <c r="B5" s="297"/>
      <c r="C5" s="297"/>
      <c r="D5" s="297"/>
      <c r="E5" s="215"/>
      <c r="F5" s="128"/>
      <c r="G5" s="128"/>
      <c r="H5" s="128"/>
      <c r="I5" s="128"/>
      <c r="J5" s="128"/>
      <c r="K5" s="128"/>
      <c r="L5" s="128"/>
      <c r="M5" s="128"/>
      <c r="N5" s="128"/>
      <c r="O5" s="298"/>
      <c r="P5" s="298"/>
      <c r="Q5" s="298"/>
      <c r="R5" s="298"/>
      <c r="S5" s="121"/>
    </row>
    <row r="6" spans="1:19" ht="15" customHeight="1" x14ac:dyDescent="1.05">
      <c r="A6" s="297"/>
      <c r="B6" s="297"/>
      <c r="C6" s="297"/>
      <c r="D6" s="297"/>
      <c r="E6" s="215"/>
      <c r="F6" s="128"/>
      <c r="G6" s="128"/>
      <c r="H6" s="128"/>
      <c r="I6" s="128"/>
      <c r="J6" s="128"/>
      <c r="K6" s="128"/>
      <c r="L6" s="128"/>
      <c r="M6" s="128"/>
      <c r="N6" s="128"/>
      <c r="O6" s="298"/>
      <c r="P6" s="298"/>
      <c r="Q6" s="298"/>
      <c r="R6" s="298"/>
      <c r="S6" s="121"/>
    </row>
    <row r="7" spans="1:19" ht="15" customHeight="1" x14ac:dyDescent="0.95">
      <c r="A7" s="299" t="s">
        <v>4</v>
      </c>
      <c r="B7" s="299"/>
      <c r="C7" s="299"/>
      <c r="D7" s="299"/>
      <c r="E7" s="299"/>
      <c r="F7" s="128"/>
      <c r="G7" s="128"/>
      <c r="H7" s="128"/>
      <c r="I7" s="128"/>
      <c r="J7" s="128"/>
      <c r="K7" s="128"/>
      <c r="L7" s="128"/>
      <c r="M7" s="128"/>
      <c r="N7" s="128"/>
      <c r="O7" s="298"/>
      <c r="P7" s="298"/>
      <c r="Q7" s="298"/>
      <c r="R7" s="298"/>
      <c r="S7" s="121"/>
    </row>
    <row r="8" spans="1:19" ht="15" customHeight="1" x14ac:dyDescent="0.95">
      <c r="A8" s="299"/>
      <c r="B8" s="299"/>
      <c r="C8" s="299"/>
      <c r="D8" s="299"/>
      <c r="E8" s="299"/>
      <c r="F8" s="128"/>
      <c r="G8" s="128"/>
      <c r="H8" s="128"/>
      <c r="I8" s="128"/>
      <c r="J8" s="128"/>
      <c r="K8" s="128"/>
      <c r="L8" s="128"/>
      <c r="M8" s="128"/>
      <c r="N8" s="128"/>
      <c r="O8" s="298"/>
      <c r="P8" s="298"/>
      <c r="Q8" s="298"/>
      <c r="R8" s="298"/>
      <c r="S8" s="121"/>
    </row>
    <row r="9" spans="1:19" ht="15" customHeight="1" x14ac:dyDescent="0.95">
      <c r="A9" s="299"/>
      <c r="B9" s="299"/>
      <c r="C9" s="299"/>
      <c r="D9" s="299"/>
      <c r="E9" s="299"/>
      <c r="F9" s="128"/>
      <c r="G9" s="128"/>
      <c r="H9" s="300"/>
      <c r="I9" s="300"/>
      <c r="J9" s="300"/>
      <c r="K9" s="300"/>
      <c r="L9" s="300"/>
      <c r="M9" s="300"/>
      <c r="N9" s="128"/>
      <c r="O9" s="298"/>
      <c r="P9" s="298"/>
      <c r="Q9" s="298"/>
      <c r="R9" s="298"/>
      <c r="S9" s="121"/>
    </row>
    <row r="10" spans="1:19" ht="15" customHeight="1" x14ac:dyDescent="0.95">
      <c r="A10" s="299"/>
      <c r="B10" s="299"/>
      <c r="C10" s="299"/>
      <c r="D10" s="299"/>
      <c r="E10" s="299"/>
      <c r="F10" s="128"/>
      <c r="G10" s="128"/>
      <c r="H10" s="128"/>
      <c r="I10" s="128"/>
      <c r="J10" s="128"/>
      <c r="K10" s="128"/>
      <c r="L10" s="128"/>
      <c r="M10" s="128"/>
      <c r="N10" s="128"/>
      <c r="O10" s="298"/>
      <c r="P10" s="298"/>
      <c r="Q10" s="298"/>
      <c r="R10" s="298"/>
      <c r="S10" s="121"/>
    </row>
    <row r="11" spans="1:19" ht="15" customHeight="1" x14ac:dyDescent="0.25">
      <c r="A11" s="299"/>
      <c r="B11" s="299"/>
      <c r="C11" s="299"/>
      <c r="D11" s="299"/>
      <c r="E11" s="299"/>
      <c r="F11" s="129"/>
      <c r="G11" s="129"/>
      <c r="H11" s="300"/>
      <c r="I11" s="300"/>
      <c r="J11" s="300"/>
      <c r="K11" s="300"/>
      <c r="L11" s="300"/>
      <c r="M11" s="300"/>
      <c r="N11" s="128"/>
      <c r="O11" s="298"/>
      <c r="P11" s="298"/>
      <c r="Q11" s="298"/>
      <c r="R11" s="298"/>
    </row>
    <row r="12" spans="1:19" ht="15" customHeight="1" x14ac:dyDescent="0.25">
      <c r="A12" s="299"/>
      <c r="B12" s="299"/>
      <c r="C12" s="299"/>
      <c r="D12" s="299"/>
      <c r="E12" s="299"/>
      <c r="F12" s="129"/>
      <c r="G12" s="129"/>
      <c r="H12" s="129"/>
      <c r="I12" s="129"/>
      <c r="J12" s="129"/>
      <c r="K12" s="129"/>
      <c r="L12" s="129"/>
      <c r="M12" s="129"/>
      <c r="N12" s="128"/>
      <c r="O12" s="298"/>
      <c r="P12" s="298"/>
      <c r="Q12" s="298"/>
      <c r="R12" s="298"/>
    </row>
    <row r="13" spans="1:19" ht="15" customHeight="1" x14ac:dyDescent="0.25">
      <c r="A13" s="123"/>
      <c r="B13" s="123"/>
      <c r="C13" s="123"/>
      <c r="D13" s="123"/>
      <c r="F13" s="129"/>
      <c r="G13" s="129"/>
      <c r="H13" s="300"/>
      <c r="I13" s="300"/>
      <c r="J13" s="300"/>
      <c r="K13" s="300"/>
      <c r="L13" s="300"/>
      <c r="M13" s="300"/>
      <c r="N13" s="128"/>
      <c r="O13" s="298"/>
      <c r="P13" s="298"/>
      <c r="Q13" s="298"/>
      <c r="R13" s="298"/>
    </row>
    <row r="14" spans="1:19" ht="15" customHeight="1" x14ac:dyDescent="0.25">
      <c r="A14" s="123"/>
      <c r="B14" s="123"/>
      <c r="C14" s="123"/>
      <c r="D14" s="123"/>
      <c r="F14" s="130"/>
      <c r="G14" s="130"/>
      <c r="H14" s="130"/>
      <c r="I14" s="130"/>
      <c r="J14" s="130"/>
      <c r="K14" s="130"/>
      <c r="L14" s="130"/>
      <c r="M14" s="130"/>
      <c r="N14" s="128"/>
      <c r="O14" s="298"/>
      <c r="P14" s="298"/>
      <c r="Q14" s="298"/>
      <c r="R14" s="298"/>
    </row>
    <row r="15" spans="1:19" ht="15" customHeight="1" x14ac:dyDescent="0.25">
      <c r="A15" s="123"/>
      <c r="B15" s="123"/>
      <c r="C15" s="123"/>
      <c r="D15" s="123"/>
      <c r="F15" s="130"/>
      <c r="G15" s="130"/>
      <c r="H15" s="300"/>
      <c r="I15" s="300"/>
      <c r="J15" s="300"/>
      <c r="K15" s="300"/>
      <c r="L15" s="300"/>
      <c r="M15" s="300"/>
      <c r="N15" s="128"/>
      <c r="O15" s="298"/>
      <c r="P15" s="298"/>
      <c r="Q15" s="298"/>
      <c r="R15" s="298"/>
    </row>
    <row r="16" spans="1:19" ht="15" customHeight="1" x14ac:dyDescent="0.25">
      <c r="F16" s="133"/>
      <c r="G16" s="133"/>
      <c r="H16" s="133"/>
      <c r="I16" s="133"/>
      <c r="J16" s="133"/>
      <c r="K16" s="133"/>
      <c r="L16" s="133"/>
      <c r="M16" s="133"/>
      <c r="N16" s="128"/>
      <c r="O16" s="298"/>
      <c r="P16" s="298"/>
      <c r="Q16" s="298"/>
      <c r="R16" s="298"/>
    </row>
    <row r="17" spans="6:18" ht="15" customHeight="1" x14ac:dyDescent="0.25">
      <c r="F17" s="133"/>
      <c r="G17" s="133"/>
      <c r="H17" s="133"/>
      <c r="I17" s="133"/>
      <c r="J17" s="133"/>
      <c r="K17" s="133"/>
      <c r="L17" s="133"/>
      <c r="M17" s="133"/>
      <c r="N17" s="128"/>
      <c r="O17" s="298"/>
      <c r="P17" s="298"/>
      <c r="Q17" s="298"/>
      <c r="R17" s="298"/>
    </row>
    <row r="18" spans="6:18" ht="15" customHeight="1" x14ac:dyDescent="0.25">
      <c r="F18" s="133"/>
      <c r="G18" s="133"/>
      <c r="H18" s="133"/>
      <c r="I18" s="133"/>
      <c r="J18" s="133"/>
      <c r="K18" s="133"/>
      <c r="L18" s="133"/>
      <c r="M18" s="133"/>
      <c r="N18" s="128"/>
      <c r="O18" s="298"/>
      <c r="P18" s="298"/>
      <c r="Q18" s="298"/>
      <c r="R18" s="298"/>
    </row>
    <row r="19" spans="6:18" ht="15" customHeight="1" x14ac:dyDescent="0.25">
      <c r="F19" s="133"/>
      <c r="G19" s="133"/>
      <c r="H19" s="133"/>
      <c r="I19" s="133"/>
      <c r="J19" s="133"/>
      <c r="K19" s="133"/>
      <c r="L19" s="133"/>
      <c r="M19" s="133"/>
      <c r="N19" s="128"/>
      <c r="O19" s="298"/>
      <c r="P19" s="298"/>
      <c r="Q19" s="298"/>
      <c r="R19" s="298"/>
    </row>
    <row r="20" spans="6:18" ht="15" customHeight="1" x14ac:dyDescent="0.25">
      <c r="F20" s="133"/>
      <c r="G20" s="133"/>
      <c r="H20" s="133"/>
      <c r="I20" s="133"/>
      <c r="J20" s="133"/>
      <c r="K20" s="133"/>
      <c r="L20" s="133"/>
      <c r="M20" s="133"/>
      <c r="N20" s="128"/>
    </row>
    <row r="21" spans="6:18" ht="15" customHeight="1" x14ac:dyDescent="0.25">
      <c r="F21" s="133"/>
      <c r="G21" s="133"/>
      <c r="H21" s="133"/>
      <c r="I21" s="133"/>
      <c r="J21" s="133"/>
      <c r="K21" s="133"/>
      <c r="L21" s="133"/>
      <c r="M21" s="133"/>
      <c r="N21" s="128"/>
    </row>
    <row r="22" spans="6:18" ht="15" customHeight="1" x14ac:dyDescent="0.25">
      <c r="F22" s="133"/>
      <c r="G22" s="133"/>
      <c r="H22" s="133"/>
      <c r="I22" s="133"/>
      <c r="J22" s="133"/>
      <c r="K22" s="133"/>
      <c r="L22" s="133"/>
      <c r="M22" s="133"/>
      <c r="N22" s="128"/>
    </row>
    <row r="23" spans="6:18" ht="15" customHeight="1" x14ac:dyDescent="0.25">
      <c r="F23" s="133"/>
      <c r="G23" s="133"/>
      <c r="H23" s="133"/>
      <c r="I23" s="133"/>
      <c r="J23" s="133"/>
      <c r="K23" s="133"/>
      <c r="L23" s="133"/>
      <c r="M23" s="133"/>
      <c r="N23" s="128"/>
    </row>
    <row r="24" spans="6:18" ht="15" customHeight="1" x14ac:dyDescent="0.25">
      <c r="F24" s="133"/>
      <c r="G24" s="133"/>
      <c r="H24" s="133"/>
      <c r="I24" s="133"/>
      <c r="J24" s="133"/>
      <c r="K24" s="133"/>
      <c r="L24" s="133"/>
      <c r="M24" s="133"/>
      <c r="N24" s="128"/>
    </row>
    <row r="25" spans="6:18" ht="15" customHeight="1" x14ac:dyDescent="0.25">
      <c r="F25" s="133"/>
      <c r="G25" s="133"/>
      <c r="H25" s="133"/>
      <c r="I25" s="133"/>
      <c r="J25" s="133"/>
      <c r="K25" s="133"/>
      <c r="L25" s="133"/>
      <c r="M25" s="133"/>
      <c r="N25" s="128"/>
    </row>
    <row r="26" spans="6:18" ht="15" customHeight="1" x14ac:dyDescent="0.25">
      <c r="F26" s="133"/>
      <c r="G26" s="133"/>
      <c r="H26" s="133"/>
      <c r="I26" s="133"/>
      <c r="J26" s="133"/>
      <c r="K26" s="133"/>
      <c r="L26" s="133"/>
      <c r="M26" s="133"/>
      <c r="N26" s="128"/>
    </row>
    <row r="27" spans="6:18" ht="15" customHeight="1" x14ac:dyDescent="0.25">
      <c r="F27" s="133"/>
      <c r="G27" s="133"/>
      <c r="H27" s="133"/>
      <c r="I27" s="133"/>
      <c r="J27" s="133"/>
      <c r="K27" s="133"/>
      <c r="L27" s="133"/>
      <c r="M27" s="133"/>
      <c r="N27" s="128"/>
    </row>
    <row r="28" spans="6:18" ht="15" customHeight="1" x14ac:dyDescent="0.25">
      <c r="F28" s="133"/>
      <c r="G28" s="133"/>
      <c r="H28" s="133"/>
      <c r="I28" s="133"/>
      <c r="J28" s="133"/>
      <c r="K28" s="133"/>
      <c r="L28" s="133"/>
      <c r="M28" s="133"/>
      <c r="N28" s="128"/>
    </row>
    <row r="29" spans="6:18" ht="15" customHeight="1" x14ac:dyDescent="0.25">
      <c r="F29" s="133"/>
      <c r="G29" s="133"/>
      <c r="H29" s="133"/>
      <c r="I29" s="133"/>
      <c r="J29" s="133"/>
      <c r="K29" s="133"/>
      <c r="L29" s="133"/>
      <c r="M29" s="133"/>
      <c r="N29" s="128"/>
    </row>
    <row r="30" spans="6:18" ht="15" customHeight="1" x14ac:dyDescent="0.25">
      <c r="F30" s="133"/>
      <c r="G30" s="133"/>
      <c r="H30" s="133"/>
      <c r="I30" s="133"/>
      <c r="J30" s="133"/>
      <c r="K30" s="133"/>
      <c r="L30" s="133"/>
      <c r="M30" s="133"/>
      <c r="N30" s="128"/>
    </row>
    <row r="31" spans="6:18" ht="15" customHeight="1" x14ac:dyDescent="0.25">
      <c r="F31" s="133"/>
      <c r="G31" s="133"/>
      <c r="H31" s="133"/>
      <c r="I31" s="133"/>
      <c r="J31" s="133"/>
      <c r="K31" s="133"/>
      <c r="L31" s="133"/>
      <c r="M31" s="133"/>
      <c r="N31" s="128"/>
    </row>
    <row r="32" spans="6:18" ht="15" customHeight="1" x14ac:dyDescent="0.25">
      <c r="F32" s="133"/>
      <c r="G32" s="133"/>
      <c r="H32" s="133"/>
      <c r="I32" s="133"/>
      <c r="J32" s="133"/>
      <c r="K32" s="133"/>
      <c r="L32" s="133"/>
      <c r="M32" s="133"/>
      <c r="N32" s="128"/>
    </row>
    <row r="33" spans="1:14" ht="15" customHeight="1" x14ac:dyDescent="0.25">
      <c r="F33" s="133"/>
      <c r="G33" s="133"/>
      <c r="H33" s="133"/>
      <c r="I33" s="133"/>
      <c r="J33" s="133"/>
      <c r="K33" s="133"/>
      <c r="L33" s="133"/>
      <c r="M33" s="133"/>
      <c r="N33" s="128"/>
    </row>
    <row r="34" spans="1:14" ht="15" customHeight="1" x14ac:dyDescent="0.25">
      <c r="F34" s="133"/>
      <c r="G34" s="133"/>
      <c r="H34" s="133"/>
      <c r="I34" s="133"/>
      <c r="J34" s="133"/>
      <c r="K34" s="133"/>
      <c r="L34" s="133"/>
      <c r="M34" s="133"/>
      <c r="N34" s="128"/>
    </row>
    <row r="35" spans="1:14" ht="15" customHeight="1" x14ac:dyDescent="0.25">
      <c r="F35" s="133"/>
      <c r="G35" s="133"/>
      <c r="H35" s="133"/>
      <c r="I35" s="133"/>
      <c r="J35" s="133"/>
      <c r="K35" s="133"/>
      <c r="L35" s="133"/>
      <c r="M35" s="133"/>
      <c r="N35" s="128"/>
    </row>
    <row r="36" spans="1:14" ht="15" customHeight="1" x14ac:dyDescent="0.25">
      <c r="F36" s="133"/>
      <c r="G36" s="133"/>
      <c r="H36" s="133"/>
      <c r="I36" s="133"/>
      <c r="J36" s="133"/>
      <c r="K36" s="133"/>
      <c r="L36" s="133"/>
      <c r="M36" s="133"/>
      <c r="N36" s="128"/>
    </row>
    <row r="37" spans="1:14" ht="15" customHeight="1" x14ac:dyDescent="0.25">
      <c r="F37" s="133"/>
      <c r="G37" s="133"/>
      <c r="H37" s="133"/>
      <c r="I37" s="133"/>
      <c r="J37" s="133"/>
      <c r="K37" s="133"/>
      <c r="L37" s="133"/>
      <c r="M37" s="133"/>
      <c r="N37" s="128"/>
    </row>
    <row r="38" spans="1:14" ht="15" customHeight="1" x14ac:dyDescent="0.25">
      <c r="F38" s="133"/>
      <c r="G38" s="133"/>
      <c r="H38" s="133"/>
      <c r="I38" s="133"/>
      <c r="J38" s="133"/>
      <c r="K38" s="133"/>
      <c r="L38" s="133"/>
      <c r="M38" s="133"/>
      <c r="N38" s="128"/>
    </row>
    <row r="39" spans="1:14" ht="15" customHeight="1" x14ac:dyDescent="0.25">
      <c r="A39" s="123"/>
      <c r="B39" s="123"/>
      <c r="C39" s="123"/>
      <c r="D39" s="123"/>
      <c r="F39" s="133"/>
      <c r="G39" s="133"/>
      <c r="H39" s="133"/>
      <c r="I39" s="133"/>
      <c r="J39" s="133"/>
      <c r="K39" s="133"/>
      <c r="L39" s="133"/>
      <c r="M39" s="133"/>
      <c r="N39" s="128"/>
    </row>
    <row r="40" spans="1:14" ht="15" customHeight="1" x14ac:dyDescent="0.25">
      <c r="A40" s="123"/>
      <c r="B40" s="123"/>
      <c r="C40" s="123"/>
      <c r="D40" s="123"/>
      <c r="F40" s="133"/>
      <c r="G40" s="133"/>
      <c r="H40" s="133"/>
      <c r="I40" s="133"/>
      <c r="J40" s="133"/>
      <c r="K40" s="133"/>
      <c r="L40" s="133"/>
      <c r="M40" s="133"/>
      <c r="N40" s="128"/>
    </row>
    <row r="41" spans="1:14" ht="15" customHeight="1" x14ac:dyDescent="0.25">
      <c r="A41" s="123"/>
      <c r="B41" s="123"/>
      <c r="C41" s="123"/>
      <c r="D41" s="123"/>
      <c r="F41" s="128"/>
      <c r="G41" s="128"/>
      <c r="H41" s="131"/>
      <c r="I41" s="131"/>
      <c r="J41" s="131"/>
      <c r="K41" s="131"/>
      <c r="L41" s="128"/>
      <c r="M41" s="128"/>
      <c r="N41" s="128"/>
    </row>
    <row r="42" spans="1:14" ht="15" customHeight="1" x14ac:dyDescent="0.25">
      <c r="A42" s="123"/>
      <c r="B42" s="123"/>
      <c r="C42" s="123"/>
      <c r="D42" s="123"/>
      <c r="F42" s="128"/>
      <c r="G42" s="128"/>
      <c r="H42" s="131"/>
      <c r="I42" s="131"/>
      <c r="J42" s="131"/>
      <c r="K42" s="131"/>
      <c r="L42" s="128"/>
      <c r="M42" s="128"/>
      <c r="N42" s="128"/>
    </row>
    <row r="43" spans="1:14" ht="15" hidden="1" customHeight="1" x14ac:dyDescent="0.25">
      <c r="A43" s="123"/>
      <c r="B43" s="123"/>
      <c r="C43" s="123"/>
      <c r="D43" s="123"/>
      <c r="H43" s="122"/>
      <c r="I43" s="122"/>
      <c r="J43" s="122"/>
      <c r="K43" s="122"/>
    </row>
  </sheetData>
  <sheetProtection algorithmName="SHA-512" hashValue="Cu0SJcV0jayRTGZ7x1J0dayZ0823mDwIIf/SK3UJX9LMKPXTQpD+/wzmJv6hXuL0nCqkkI4tCNN7U081nLD+Ew==" saltValue="oIE+lIvyBn44KuMZktHBMw==" spinCount="100000" sheet="1" objects="1" scenarios="1" selectLockedCells="1"/>
  <mergeCells count="7">
    <mergeCell ref="H15:M15"/>
    <mergeCell ref="O1:R19"/>
    <mergeCell ref="A1:D6"/>
    <mergeCell ref="A7:E12"/>
    <mergeCell ref="H9:M9"/>
    <mergeCell ref="H11:M11"/>
    <mergeCell ref="H13:M1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AD66F-B8CD-42E1-BA14-C229A5DB6CF7}">
  <sheetPr codeName="Hoja13">
    <pageSetUpPr autoPageBreaks="0"/>
  </sheetPr>
  <dimension ref="A1:S57"/>
  <sheetViews>
    <sheetView showGridLines="0" showRowColHeaders="0" topLeftCell="A19" zoomScale="80" zoomScaleNormal="80" workbookViewId="0">
      <selection activeCell="I38" sqref="I38"/>
    </sheetView>
  </sheetViews>
  <sheetFormatPr baseColWidth="10" defaultColWidth="0" defaultRowHeight="15" zeroHeight="1" x14ac:dyDescent="0.25"/>
  <cols>
    <col min="1" max="17" width="11.42578125" style="120" customWidth="1"/>
    <col min="18" max="18" width="15.85546875" style="120" customWidth="1"/>
    <col min="19" max="21" width="11.42578125" style="120" hidden="1" customWidth="1"/>
    <col min="22" max="16384" width="11.42578125" style="120" hidden="1"/>
  </cols>
  <sheetData>
    <row r="1" spans="1:19" ht="15" customHeight="1" x14ac:dyDescent="0.95">
      <c r="A1" s="302" t="s">
        <v>5</v>
      </c>
      <c r="B1" s="302"/>
      <c r="C1" s="302"/>
      <c r="D1" s="302"/>
      <c r="E1" s="302"/>
      <c r="F1" s="128"/>
      <c r="G1" s="128"/>
      <c r="H1" s="128"/>
      <c r="I1" s="128"/>
      <c r="J1" s="128"/>
      <c r="K1" s="128"/>
      <c r="L1" s="128"/>
      <c r="M1" s="128"/>
      <c r="N1" s="128"/>
      <c r="O1" s="298" t="s">
        <v>1</v>
      </c>
      <c r="P1" s="298"/>
      <c r="Q1" s="298"/>
      <c r="R1" s="298"/>
      <c r="S1" s="121"/>
    </row>
    <row r="2" spans="1:19" ht="15" customHeight="1" x14ac:dyDescent="0.95">
      <c r="A2" s="302"/>
      <c r="B2" s="302"/>
      <c r="C2" s="302"/>
      <c r="D2" s="302"/>
      <c r="E2" s="302"/>
      <c r="F2" s="128"/>
      <c r="G2" s="128"/>
      <c r="H2" s="128"/>
      <c r="I2" s="128"/>
      <c r="J2" s="128"/>
      <c r="K2" s="128"/>
      <c r="L2" s="128"/>
      <c r="M2" s="128"/>
      <c r="N2" s="128"/>
      <c r="O2" s="298"/>
      <c r="P2" s="298"/>
      <c r="Q2" s="298"/>
      <c r="R2" s="298"/>
      <c r="S2" s="121"/>
    </row>
    <row r="3" spans="1:19" ht="15" customHeight="1" x14ac:dyDescent="0.95">
      <c r="A3" s="302"/>
      <c r="B3" s="302"/>
      <c r="C3" s="302"/>
      <c r="D3" s="302"/>
      <c r="E3" s="302"/>
      <c r="F3" s="128"/>
      <c r="G3" s="128"/>
      <c r="H3" s="128"/>
      <c r="I3" s="128"/>
      <c r="J3" s="128"/>
      <c r="K3" s="128"/>
      <c r="L3" s="128"/>
      <c r="M3" s="128"/>
      <c r="N3" s="128"/>
      <c r="O3" s="298"/>
      <c r="P3" s="298"/>
      <c r="Q3" s="298"/>
      <c r="R3" s="298"/>
      <c r="S3" s="121"/>
    </row>
    <row r="4" spans="1:19" ht="15" customHeight="1" x14ac:dyDescent="0.95">
      <c r="A4" s="302"/>
      <c r="B4" s="302"/>
      <c r="C4" s="302"/>
      <c r="D4" s="302"/>
      <c r="E4" s="302"/>
      <c r="F4" s="128"/>
      <c r="G4" s="128"/>
      <c r="H4" s="128"/>
      <c r="I4" s="128"/>
      <c r="J4" s="128"/>
      <c r="K4" s="128"/>
      <c r="L4" s="128"/>
      <c r="M4" s="128"/>
      <c r="N4" s="128"/>
      <c r="O4" s="298"/>
      <c r="P4" s="298"/>
      <c r="Q4" s="298"/>
      <c r="R4" s="298"/>
      <c r="S4" s="121"/>
    </row>
    <row r="5" spans="1:19" ht="15" customHeight="1" x14ac:dyDescent="0.95">
      <c r="A5" s="302"/>
      <c r="B5" s="302"/>
      <c r="C5" s="302"/>
      <c r="D5" s="302"/>
      <c r="E5" s="302"/>
      <c r="F5" s="128"/>
      <c r="G5" s="128"/>
      <c r="H5" s="128"/>
      <c r="I5" s="128"/>
      <c r="J5" s="128"/>
      <c r="K5" s="128"/>
      <c r="L5" s="128"/>
      <c r="M5" s="128"/>
      <c r="N5" s="128"/>
      <c r="O5" s="298"/>
      <c r="P5" s="298"/>
      <c r="Q5" s="298"/>
      <c r="R5" s="298"/>
      <c r="S5" s="121"/>
    </row>
    <row r="6" spans="1:19" ht="15" customHeight="1" x14ac:dyDescent="0.95">
      <c r="A6" s="302"/>
      <c r="B6" s="302"/>
      <c r="C6" s="302"/>
      <c r="D6" s="302"/>
      <c r="E6" s="302"/>
      <c r="F6" s="128"/>
      <c r="G6" s="128"/>
      <c r="H6" s="128"/>
      <c r="I6" s="128"/>
      <c r="J6" s="128"/>
      <c r="K6" s="128"/>
      <c r="L6" s="128"/>
      <c r="M6" s="128"/>
      <c r="N6" s="128"/>
      <c r="O6" s="298"/>
      <c r="P6" s="298"/>
      <c r="Q6" s="298"/>
      <c r="R6" s="298"/>
      <c r="S6" s="121"/>
    </row>
    <row r="7" spans="1:19" ht="15" customHeight="1" x14ac:dyDescent="0.95">
      <c r="A7" s="302" t="s">
        <v>6</v>
      </c>
      <c r="B7" s="302"/>
      <c r="C7" s="302"/>
      <c r="D7" s="302"/>
      <c r="E7" s="302"/>
      <c r="F7" s="128"/>
      <c r="G7" s="128"/>
      <c r="H7" s="128"/>
      <c r="I7" s="128"/>
      <c r="J7" s="128"/>
      <c r="K7" s="128"/>
      <c r="L7" s="128"/>
      <c r="M7" s="128"/>
      <c r="N7" s="128"/>
      <c r="O7" s="298"/>
      <c r="P7" s="298"/>
      <c r="Q7" s="298"/>
      <c r="R7" s="298"/>
      <c r="S7" s="121"/>
    </row>
    <row r="8" spans="1:19" ht="15" customHeight="1" x14ac:dyDescent="0.95">
      <c r="A8" s="302"/>
      <c r="B8" s="302"/>
      <c r="C8" s="302"/>
      <c r="D8" s="302"/>
      <c r="E8" s="302"/>
      <c r="F8" s="128"/>
      <c r="G8" s="128"/>
      <c r="H8" s="128"/>
      <c r="I8" s="128"/>
      <c r="J8" s="128"/>
      <c r="K8" s="128"/>
      <c r="L8" s="128"/>
      <c r="M8" s="128"/>
      <c r="N8" s="128"/>
      <c r="O8" s="298"/>
      <c r="P8" s="298"/>
      <c r="Q8" s="298"/>
      <c r="R8" s="298"/>
      <c r="S8" s="121"/>
    </row>
    <row r="9" spans="1:19" ht="15" customHeight="1" x14ac:dyDescent="0.95">
      <c r="A9" s="302"/>
      <c r="B9" s="302"/>
      <c r="C9" s="302"/>
      <c r="D9" s="302"/>
      <c r="E9" s="302"/>
      <c r="F9" s="128"/>
      <c r="G9" s="128"/>
      <c r="H9" s="128"/>
      <c r="I9" s="128"/>
      <c r="J9" s="128"/>
      <c r="K9" s="128"/>
      <c r="L9" s="128"/>
      <c r="M9" s="128"/>
      <c r="N9" s="128"/>
      <c r="O9" s="298"/>
      <c r="P9" s="298"/>
      <c r="Q9" s="298"/>
      <c r="R9" s="298"/>
      <c r="S9" s="121"/>
    </row>
    <row r="10" spans="1:19" ht="15" customHeight="1" x14ac:dyDescent="0.95">
      <c r="A10" s="302"/>
      <c r="B10" s="302"/>
      <c r="C10" s="302"/>
      <c r="D10" s="302"/>
      <c r="E10" s="302"/>
      <c r="F10" s="128"/>
      <c r="G10" s="128"/>
      <c r="H10" s="128"/>
      <c r="I10" s="128"/>
      <c r="J10" s="128"/>
      <c r="K10" s="128"/>
      <c r="L10" s="128"/>
      <c r="M10" s="128"/>
      <c r="N10" s="128"/>
      <c r="O10" s="298"/>
      <c r="P10" s="298"/>
      <c r="Q10" s="298"/>
      <c r="R10" s="298"/>
      <c r="S10" s="121"/>
    </row>
    <row r="11" spans="1:19" ht="15" customHeight="1" x14ac:dyDescent="0.25">
      <c r="A11" s="302"/>
      <c r="B11" s="302"/>
      <c r="C11" s="302"/>
      <c r="D11" s="302"/>
      <c r="E11" s="302"/>
      <c r="F11" s="129"/>
      <c r="G11" s="129"/>
      <c r="H11" s="129"/>
      <c r="I11" s="129"/>
      <c r="J11" s="129"/>
      <c r="K11" s="129"/>
      <c r="L11" s="129"/>
      <c r="M11" s="129"/>
      <c r="N11" s="128"/>
      <c r="O11" s="298"/>
      <c r="P11" s="298"/>
      <c r="Q11" s="298"/>
      <c r="R11" s="298"/>
    </row>
    <row r="12" spans="1:19" ht="15" customHeight="1" x14ac:dyDescent="0.25">
      <c r="A12" s="302"/>
      <c r="B12" s="302"/>
      <c r="C12" s="302"/>
      <c r="D12" s="302"/>
      <c r="E12" s="302"/>
      <c r="F12" s="129"/>
      <c r="G12" s="129"/>
      <c r="H12" s="129"/>
      <c r="I12" s="129"/>
      <c r="J12" s="129"/>
      <c r="K12" s="129"/>
      <c r="L12" s="129"/>
      <c r="M12" s="129"/>
      <c r="N12" s="128"/>
      <c r="O12" s="298"/>
      <c r="P12" s="298"/>
      <c r="Q12" s="298"/>
      <c r="R12" s="298"/>
    </row>
    <row r="13" spans="1:19" ht="15" customHeight="1" x14ac:dyDescent="0.95">
      <c r="A13" s="302" t="s">
        <v>7</v>
      </c>
      <c r="B13" s="302"/>
      <c r="C13" s="302"/>
      <c r="D13" s="302"/>
      <c r="E13" s="216"/>
      <c r="F13" s="129"/>
      <c r="G13" s="129"/>
      <c r="H13" s="129"/>
      <c r="I13" s="129"/>
      <c r="J13" s="129"/>
      <c r="K13" s="129"/>
      <c r="L13" s="129"/>
      <c r="M13" s="129"/>
      <c r="N13" s="128"/>
      <c r="O13" s="298"/>
      <c r="P13" s="298"/>
      <c r="Q13" s="298"/>
      <c r="R13" s="298"/>
    </row>
    <row r="14" spans="1:19" ht="15" customHeight="1" x14ac:dyDescent="0.95">
      <c r="A14" s="302"/>
      <c r="B14" s="302"/>
      <c r="C14" s="302"/>
      <c r="D14" s="302"/>
      <c r="E14" s="216"/>
      <c r="F14" s="130"/>
      <c r="G14" s="130"/>
      <c r="H14" s="130"/>
      <c r="I14" s="130"/>
      <c r="J14" s="130"/>
      <c r="K14" s="130"/>
      <c r="L14" s="130"/>
      <c r="M14" s="130"/>
      <c r="N14" s="128"/>
      <c r="O14" s="298"/>
      <c r="P14" s="298"/>
      <c r="Q14" s="298"/>
      <c r="R14" s="298"/>
    </row>
    <row r="15" spans="1:19" ht="15" customHeight="1" x14ac:dyDescent="0.95">
      <c r="A15" s="302"/>
      <c r="B15" s="302"/>
      <c r="C15" s="302"/>
      <c r="D15" s="302"/>
      <c r="E15" s="216"/>
      <c r="F15" s="130"/>
      <c r="G15" s="130"/>
      <c r="H15" s="130"/>
      <c r="I15" s="130"/>
      <c r="J15" s="130"/>
      <c r="K15" s="130"/>
      <c r="L15" s="130"/>
      <c r="M15" s="130"/>
      <c r="N15" s="128"/>
      <c r="O15" s="298"/>
      <c r="P15" s="298"/>
      <c r="Q15" s="298"/>
      <c r="R15" s="298"/>
    </row>
    <row r="16" spans="1:19" ht="15" customHeight="1" x14ac:dyDescent="0.95">
      <c r="A16" s="302"/>
      <c r="B16" s="302"/>
      <c r="C16" s="302"/>
      <c r="D16" s="302"/>
      <c r="E16" s="216"/>
      <c r="F16" s="130"/>
      <c r="G16" s="130"/>
      <c r="H16" s="130"/>
      <c r="I16" s="130"/>
      <c r="J16" s="130"/>
      <c r="K16" s="130"/>
      <c r="L16" s="130"/>
      <c r="M16" s="130"/>
      <c r="N16" s="128"/>
      <c r="O16" s="298"/>
      <c r="P16" s="298"/>
      <c r="Q16" s="298"/>
      <c r="R16" s="298"/>
    </row>
    <row r="17" spans="1:18" ht="15" customHeight="1" x14ac:dyDescent="0.95">
      <c r="A17" s="302"/>
      <c r="B17" s="302"/>
      <c r="C17" s="302"/>
      <c r="D17" s="302"/>
      <c r="E17" s="216"/>
      <c r="F17" s="130"/>
      <c r="G17" s="130"/>
      <c r="H17" s="130"/>
      <c r="I17" s="130"/>
      <c r="J17" s="130"/>
      <c r="K17" s="130"/>
      <c r="L17" s="130"/>
      <c r="M17" s="130"/>
      <c r="N17" s="128"/>
      <c r="O17" s="298"/>
      <c r="P17" s="298"/>
      <c r="Q17" s="298"/>
      <c r="R17" s="298"/>
    </row>
    <row r="18" spans="1:18" ht="15" customHeight="1" x14ac:dyDescent="0.95">
      <c r="A18" s="302"/>
      <c r="B18" s="302"/>
      <c r="C18" s="302"/>
      <c r="D18" s="302"/>
      <c r="E18" s="216"/>
      <c r="F18" s="130"/>
      <c r="G18" s="130"/>
      <c r="H18" s="130"/>
      <c r="I18" s="130"/>
      <c r="J18" s="130"/>
      <c r="K18" s="130"/>
      <c r="L18" s="130"/>
      <c r="M18" s="130"/>
      <c r="N18" s="128"/>
      <c r="O18" s="298"/>
      <c r="P18" s="298"/>
      <c r="Q18" s="298"/>
      <c r="R18" s="298"/>
    </row>
    <row r="19" spans="1:18" ht="15" customHeight="1" x14ac:dyDescent="0.25">
      <c r="A19" s="123"/>
      <c r="B19" s="123"/>
      <c r="C19" s="123"/>
      <c r="D19" s="123"/>
      <c r="F19" s="130"/>
      <c r="G19" s="130"/>
      <c r="H19" s="130"/>
      <c r="I19" s="130"/>
      <c r="J19" s="130"/>
      <c r="K19" s="130"/>
      <c r="L19" s="130"/>
      <c r="M19" s="130"/>
      <c r="N19" s="128"/>
      <c r="O19" s="298"/>
      <c r="P19" s="298"/>
      <c r="Q19" s="298"/>
      <c r="R19" s="298"/>
    </row>
    <row r="20" spans="1:18" ht="15" customHeight="1" x14ac:dyDescent="0.25">
      <c r="F20" s="132"/>
      <c r="G20" s="132"/>
      <c r="H20" s="132"/>
      <c r="I20" s="132"/>
      <c r="J20" s="132"/>
      <c r="K20" s="132"/>
      <c r="L20" s="132"/>
      <c r="M20" s="132"/>
      <c r="N20" s="128"/>
    </row>
    <row r="21" spans="1:18" ht="15" customHeight="1" x14ac:dyDescent="0.25">
      <c r="F21" s="132"/>
      <c r="G21" s="132"/>
      <c r="H21" s="132"/>
      <c r="I21" s="132"/>
      <c r="J21" s="132"/>
      <c r="K21" s="132"/>
      <c r="L21" s="132"/>
      <c r="M21" s="132"/>
      <c r="N21" s="128"/>
    </row>
    <row r="22" spans="1:18" ht="15" customHeight="1" x14ac:dyDescent="0.25">
      <c r="F22" s="132"/>
      <c r="G22" s="132"/>
      <c r="H22" s="132"/>
      <c r="I22" s="128"/>
      <c r="J22" s="303"/>
      <c r="K22" s="303"/>
      <c r="L22" s="128"/>
      <c r="M22" s="132"/>
      <c r="N22" s="128"/>
    </row>
    <row r="23" spans="1:18" ht="15" customHeight="1" x14ac:dyDescent="0.25">
      <c r="F23" s="133"/>
      <c r="G23" s="133"/>
      <c r="H23" s="133"/>
      <c r="I23" s="133"/>
      <c r="J23" s="128"/>
      <c r="K23" s="128"/>
      <c r="L23" s="133"/>
      <c r="M23" s="133"/>
      <c r="N23" s="128"/>
    </row>
    <row r="24" spans="1:18" ht="15" customHeight="1" x14ac:dyDescent="0.25">
      <c r="F24" s="133"/>
      <c r="G24" s="133"/>
      <c r="H24" s="133"/>
      <c r="I24" s="133"/>
      <c r="J24" s="133"/>
      <c r="K24" s="133"/>
      <c r="L24" s="133"/>
      <c r="M24" s="133"/>
      <c r="N24" s="128"/>
    </row>
    <row r="25" spans="1:18" ht="15" customHeight="1" x14ac:dyDescent="0.25">
      <c r="F25" s="133"/>
      <c r="G25" s="133"/>
      <c r="H25" s="133"/>
      <c r="I25" s="133"/>
      <c r="J25" s="133"/>
      <c r="K25" s="133"/>
      <c r="L25" s="133"/>
      <c r="M25" s="133"/>
      <c r="N25" s="128"/>
    </row>
    <row r="26" spans="1:18" ht="15" customHeight="1" x14ac:dyDescent="0.25">
      <c r="F26" s="133"/>
      <c r="G26" s="133"/>
      <c r="H26" s="133"/>
      <c r="I26" s="133"/>
      <c r="J26" s="133"/>
      <c r="K26" s="133"/>
      <c r="L26" s="133"/>
      <c r="M26" s="133"/>
      <c r="N26" s="128"/>
    </row>
    <row r="27" spans="1:18" ht="15" customHeight="1" x14ac:dyDescent="0.25">
      <c r="F27" s="133"/>
      <c r="G27" s="133"/>
      <c r="H27" s="133"/>
      <c r="I27" s="133"/>
      <c r="J27" s="133"/>
      <c r="K27" s="133"/>
      <c r="L27" s="133"/>
      <c r="M27" s="133"/>
      <c r="N27" s="128"/>
    </row>
    <row r="28" spans="1:18" ht="15" customHeight="1" x14ac:dyDescent="0.25">
      <c r="F28" s="133"/>
      <c r="G28" s="133"/>
      <c r="H28" s="133"/>
      <c r="I28" s="133"/>
      <c r="J28" s="133"/>
      <c r="K28" s="133"/>
      <c r="L28" s="133"/>
      <c r="M28" s="133"/>
      <c r="N28" s="128"/>
    </row>
    <row r="29" spans="1:18" ht="15" customHeight="1" x14ac:dyDescent="0.25">
      <c r="F29" s="133"/>
      <c r="G29" s="133"/>
      <c r="H29" s="133"/>
      <c r="I29" s="133"/>
      <c r="J29" s="133"/>
      <c r="K29" s="133"/>
      <c r="L29" s="133"/>
      <c r="M29" s="133"/>
      <c r="N29" s="128"/>
    </row>
    <row r="30" spans="1:18" ht="15" customHeight="1" x14ac:dyDescent="0.25">
      <c r="F30" s="133"/>
      <c r="G30" s="133"/>
      <c r="H30" s="133"/>
      <c r="I30" s="133"/>
      <c r="J30" s="133"/>
      <c r="K30" s="133"/>
      <c r="L30" s="133"/>
      <c r="M30" s="133"/>
      <c r="N30" s="128"/>
    </row>
    <row r="31" spans="1:18" ht="15" customHeight="1" x14ac:dyDescent="0.25">
      <c r="F31" s="133"/>
      <c r="G31" s="133"/>
      <c r="H31" s="133"/>
      <c r="I31" s="133"/>
      <c r="J31" s="133"/>
      <c r="K31" s="133"/>
      <c r="L31" s="133"/>
      <c r="M31" s="133"/>
      <c r="N31" s="128"/>
    </row>
    <row r="32" spans="1:18" ht="15" customHeight="1" x14ac:dyDescent="0.25">
      <c r="F32" s="133"/>
      <c r="G32" s="133"/>
      <c r="H32" s="133"/>
      <c r="I32" s="133"/>
      <c r="J32" s="133"/>
      <c r="K32" s="133"/>
      <c r="L32" s="133"/>
      <c r="M32" s="133"/>
      <c r="N32" s="128"/>
    </row>
    <row r="33" spans="6:14" ht="15" customHeight="1" x14ac:dyDescent="0.25">
      <c r="F33" s="133"/>
      <c r="G33" s="133"/>
      <c r="H33" s="133"/>
      <c r="I33" s="133"/>
      <c r="J33" s="133"/>
      <c r="K33" s="133"/>
      <c r="L33" s="133"/>
      <c r="M33" s="133"/>
      <c r="N33" s="128"/>
    </row>
    <row r="34" spans="6:14" ht="15" customHeight="1" x14ac:dyDescent="0.25">
      <c r="F34" s="133"/>
      <c r="G34" s="133"/>
      <c r="H34" s="133"/>
      <c r="I34" s="133"/>
      <c r="J34" s="133"/>
      <c r="K34" s="133"/>
      <c r="L34" s="133"/>
      <c r="M34" s="133"/>
      <c r="N34" s="128"/>
    </row>
    <row r="35" spans="6:14" ht="15" customHeight="1" x14ac:dyDescent="0.25">
      <c r="F35" s="133"/>
      <c r="G35" s="133"/>
      <c r="H35" s="133"/>
      <c r="I35" s="133"/>
      <c r="J35" s="133"/>
      <c r="K35" s="133"/>
      <c r="L35" s="133"/>
      <c r="M35" s="133"/>
      <c r="N35" s="128"/>
    </row>
    <row r="36" spans="6:14" ht="15" customHeight="1" x14ac:dyDescent="0.25">
      <c r="F36" s="133"/>
      <c r="G36" s="133"/>
      <c r="H36" s="133"/>
      <c r="I36" s="133"/>
      <c r="J36" s="133"/>
      <c r="K36" s="133"/>
      <c r="L36" s="133"/>
      <c r="M36" s="133"/>
      <c r="N36" s="128"/>
    </row>
    <row r="37" spans="6:14" ht="15" customHeight="1" x14ac:dyDescent="0.25">
      <c r="F37" s="133"/>
      <c r="G37" s="133"/>
      <c r="H37" s="133"/>
      <c r="I37" s="133"/>
      <c r="J37" s="133"/>
      <c r="K37" s="133"/>
      <c r="L37" s="145"/>
      <c r="M37" s="160" t="s">
        <v>8</v>
      </c>
      <c r="N37" s="128"/>
    </row>
    <row r="38" spans="6:14" ht="15" customHeight="1" x14ac:dyDescent="0.25">
      <c r="F38" s="301" t="s">
        <v>9</v>
      </c>
      <c r="G38" s="301"/>
      <c r="H38" s="301"/>
      <c r="I38" s="163"/>
      <c r="J38" s="301" t="s">
        <v>10</v>
      </c>
      <c r="K38" s="301"/>
      <c r="L38" s="161"/>
      <c r="M38" s="162" t="s">
        <v>11</v>
      </c>
      <c r="N38" s="128"/>
    </row>
    <row r="39" spans="6:14" ht="15" customHeight="1" x14ac:dyDescent="0.25">
      <c r="F39" s="133"/>
      <c r="G39" s="133"/>
      <c r="H39" s="133"/>
      <c r="I39" s="133"/>
      <c r="J39" s="133"/>
      <c r="K39" s="133"/>
      <c r="L39" s="133"/>
      <c r="M39" s="133"/>
      <c r="N39" s="128"/>
    </row>
    <row r="40" spans="6:14" ht="15" customHeight="1" x14ac:dyDescent="0.25">
      <c r="F40" s="133"/>
      <c r="G40" s="133"/>
      <c r="H40" s="133"/>
      <c r="I40" s="133"/>
      <c r="J40" s="133"/>
      <c r="K40" s="133"/>
      <c r="L40" s="133"/>
      <c r="M40" s="133"/>
      <c r="N40" s="128"/>
    </row>
    <row r="41" spans="6:14" ht="15" customHeight="1" x14ac:dyDescent="0.25">
      <c r="F41" s="133"/>
      <c r="G41" s="133"/>
      <c r="H41" s="133"/>
      <c r="I41" s="133"/>
      <c r="J41" s="133"/>
      <c r="K41" s="133"/>
      <c r="L41" s="133"/>
      <c r="M41" s="133"/>
      <c r="N41" s="128"/>
    </row>
    <row r="42" spans="6:14" ht="15" customHeight="1" x14ac:dyDescent="0.25">
      <c r="F42" s="133"/>
      <c r="G42" s="133"/>
      <c r="H42" s="133"/>
      <c r="I42" s="133"/>
      <c r="J42" s="133"/>
      <c r="K42" s="133"/>
      <c r="L42" s="133"/>
      <c r="M42" s="133"/>
      <c r="N42" s="128"/>
    </row>
    <row r="43" spans="6:14" ht="15" customHeight="1" x14ac:dyDescent="0.25">
      <c r="F43" s="133"/>
      <c r="G43" s="133"/>
      <c r="H43" s="133"/>
      <c r="I43" s="133"/>
      <c r="J43" s="133"/>
      <c r="K43" s="133"/>
      <c r="L43" s="133"/>
      <c r="M43" s="133"/>
      <c r="N43" s="128"/>
    </row>
    <row r="44" spans="6:14" ht="15" customHeight="1" x14ac:dyDescent="0.25">
      <c r="F44" s="133"/>
      <c r="G44" s="133"/>
      <c r="H44" s="133"/>
      <c r="I44" s="133"/>
      <c r="J44" s="133"/>
      <c r="K44" s="133"/>
      <c r="L44" s="133"/>
      <c r="M44" s="133"/>
      <c r="N44" s="128"/>
    </row>
    <row r="45" spans="6:14" ht="15" customHeight="1" x14ac:dyDescent="0.25">
      <c r="F45" s="133"/>
      <c r="G45" s="133"/>
      <c r="H45" s="133"/>
      <c r="I45" s="133"/>
      <c r="J45" s="133"/>
      <c r="K45" s="133"/>
      <c r="L45" s="133"/>
      <c r="M45" s="133"/>
      <c r="N45" s="128"/>
    </row>
    <row r="46" spans="6:14" ht="15" customHeight="1" x14ac:dyDescent="0.25">
      <c r="F46" s="133"/>
      <c r="G46" s="133"/>
      <c r="H46" s="133"/>
      <c r="I46" s="133"/>
      <c r="J46" s="133"/>
      <c r="K46" s="133"/>
      <c r="L46" s="133"/>
      <c r="M46" s="133"/>
      <c r="N46" s="128"/>
    </row>
    <row r="47" spans="6:14" ht="15" customHeight="1" x14ac:dyDescent="0.25">
      <c r="F47" s="133"/>
      <c r="G47" s="133"/>
      <c r="H47" s="133"/>
      <c r="I47" s="133"/>
      <c r="J47" s="133"/>
      <c r="K47" s="133"/>
      <c r="L47" s="133"/>
      <c r="M47" s="133"/>
      <c r="N47" s="128"/>
    </row>
    <row r="48" spans="6:14" ht="15" customHeight="1" x14ac:dyDescent="0.25">
      <c r="F48" s="133"/>
      <c r="G48" s="133"/>
      <c r="H48" s="133"/>
      <c r="I48" s="133"/>
      <c r="J48" s="133"/>
      <c r="K48" s="133"/>
      <c r="L48" s="133"/>
      <c r="M48" s="133"/>
      <c r="N48" s="128"/>
    </row>
    <row r="49" spans="1:14" ht="15" customHeight="1" x14ac:dyDescent="0.25">
      <c r="F49" s="133"/>
      <c r="G49" s="133"/>
      <c r="H49" s="133"/>
      <c r="I49" s="133"/>
      <c r="J49" s="133"/>
      <c r="K49" s="133"/>
      <c r="L49" s="133"/>
      <c r="M49" s="133"/>
      <c r="N49" s="128"/>
    </row>
    <row r="50" spans="1:14" ht="15" customHeight="1" x14ac:dyDescent="0.25">
      <c r="F50" s="133"/>
      <c r="G50" s="133"/>
      <c r="H50" s="133"/>
      <c r="I50" s="133"/>
      <c r="J50" s="133"/>
      <c r="K50" s="133"/>
      <c r="L50" s="133"/>
      <c r="M50" s="133"/>
      <c r="N50" s="128"/>
    </row>
    <row r="51" spans="1:14" ht="15" customHeight="1" x14ac:dyDescent="0.25">
      <c r="F51" s="133"/>
      <c r="G51" s="133"/>
      <c r="H51" s="133"/>
      <c r="I51" s="133"/>
      <c r="J51" s="133"/>
      <c r="K51" s="133"/>
      <c r="L51" s="133"/>
      <c r="M51" s="133"/>
      <c r="N51" s="128"/>
    </row>
    <row r="52" spans="1:14" ht="15" customHeight="1" x14ac:dyDescent="0.25">
      <c r="A52" s="123"/>
      <c r="B52" s="123"/>
      <c r="C52" s="123"/>
      <c r="D52" s="123"/>
      <c r="F52" s="133"/>
      <c r="G52" s="133"/>
      <c r="H52" s="133"/>
      <c r="I52" s="133"/>
      <c r="J52" s="133"/>
      <c r="K52" s="133"/>
      <c r="L52" s="133"/>
      <c r="M52" s="133"/>
      <c r="N52" s="128"/>
    </row>
    <row r="53" spans="1:14" ht="15" customHeight="1" x14ac:dyDescent="0.25">
      <c r="A53" s="123"/>
      <c r="B53" s="123"/>
      <c r="C53" s="123"/>
      <c r="D53" s="123"/>
      <c r="F53" s="133"/>
      <c r="G53" s="133"/>
      <c r="H53" s="133"/>
      <c r="I53" s="133"/>
      <c r="J53" s="133"/>
      <c r="K53" s="133"/>
      <c r="L53" s="133"/>
      <c r="M53" s="133"/>
      <c r="N53" s="128"/>
    </row>
    <row r="54" spans="1:14" ht="15" customHeight="1" x14ac:dyDescent="0.25">
      <c r="A54" s="123"/>
      <c r="B54" s="123"/>
      <c r="C54" s="123"/>
      <c r="D54" s="123"/>
      <c r="F54" s="128"/>
      <c r="G54" s="128"/>
      <c r="H54" s="131"/>
      <c r="I54" s="131"/>
      <c r="J54" s="131"/>
      <c r="K54" s="131"/>
      <c r="L54" s="128"/>
      <c r="M54" s="128"/>
      <c r="N54" s="128"/>
    </row>
    <row r="55" spans="1:14" ht="15" customHeight="1" x14ac:dyDescent="0.25">
      <c r="A55" s="123"/>
      <c r="B55" s="123"/>
      <c r="C55" s="123"/>
      <c r="D55" s="123"/>
      <c r="F55" s="128"/>
      <c r="G55" s="128"/>
      <c r="H55" s="131"/>
      <c r="I55" s="131"/>
      <c r="J55" s="131"/>
      <c r="K55" s="131"/>
      <c r="L55" s="128"/>
      <c r="M55" s="128"/>
      <c r="N55" s="128"/>
    </row>
    <row r="56" spans="1:14" ht="15" hidden="1" customHeight="1" x14ac:dyDescent="0.25">
      <c r="A56" s="123"/>
      <c r="B56" s="123"/>
      <c r="C56" s="123"/>
      <c r="D56" s="123"/>
      <c r="F56" s="128"/>
      <c r="G56" s="128"/>
      <c r="H56" s="131"/>
      <c r="I56" s="131"/>
      <c r="J56" s="131"/>
      <c r="K56" s="131"/>
      <c r="L56" s="128"/>
      <c r="M56" s="128"/>
      <c r="N56" s="128"/>
    </row>
    <row r="57" spans="1:14" ht="15" hidden="1" customHeight="1" x14ac:dyDescent="0.25">
      <c r="A57" s="123"/>
      <c r="B57" s="123"/>
      <c r="C57" s="123"/>
      <c r="D57" s="123"/>
      <c r="H57" s="122"/>
      <c r="I57" s="122"/>
      <c r="J57" s="122"/>
      <c r="K57" s="122"/>
    </row>
  </sheetData>
  <sheetProtection algorithmName="SHA-512" hashValue="9byqIsCwOso8VA3YnSQBGkPF0noPTuWTqeKtIBKyYqIbG2/vGikzqqXOZpMW6M6UinkvoJ+/waZB/s+SG/sukg==" saltValue="tgNQs4eVSKNq3lCTJjfJQA==" spinCount="100000" sheet="1" objects="1" scenarios="1" selectLockedCells="1"/>
  <mergeCells count="7">
    <mergeCell ref="J38:K38"/>
    <mergeCell ref="F38:H38"/>
    <mergeCell ref="O1:R19"/>
    <mergeCell ref="A7:E12"/>
    <mergeCell ref="A13:D18"/>
    <mergeCell ref="A1:E6"/>
    <mergeCell ref="J22:K22"/>
  </mergeCells>
  <conditionalFormatting sqref="L38">
    <cfRule type="expression" dxfId="129" priority="4">
      <formula>OR($I$38="No",$I$38="")</formula>
    </cfRule>
  </conditionalFormatting>
  <conditionalFormatting sqref="M38">
    <cfRule type="expression" dxfId="128" priority="3">
      <formula>OR($I$38="No",$I$38="")</formula>
    </cfRule>
  </conditionalFormatting>
  <conditionalFormatting sqref="M37">
    <cfRule type="expression" dxfId="127" priority="2">
      <formula>OR($I$38="No",$I$38="")</formula>
    </cfRule>
  </conditionalFormatting>
  <conditionalFormatting sqref="J38">
    <cfRule type="expression" dxfId="126" priority="1">
      <formula>OR($I$38="No",$I$38="")</formula>
    </cfRule>
  </conditionalFormatting>
  <dataValidations count="2">
    <dataValidation type="list" allowBlank="1" showInputMessage="1" showErrorMessage="1" sqref="M38" xr:uid="{A519BD66-11AF-47ED-BC89-1017DF8B0F86}">
      <formula1>"Litros,m³"</formula1>
    </dataValidation>
    <dataValidation type="list" allowBlank="1" showInputMessage="1" showErrorMessage="1" sqref="I38" xr:uid="{4DC522FC-2ED5-4BEE-8922-CAAC993C1454}">
      <formula1>"Si,No"</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11" r:id="rId4" name="Check Box 3">
              <controlPr defaultSize="0" autoFill="0" autoLine="0" autoPict="0">
                <anchor moveWithCells="1">
                  <from>
                    <xdr:col>5</xdr:col>
                    <xdr:colOff>276225</xdr:colOff>
                    <xdr:row>11</xdr:row>
                    <xdr:rowOff>9525</xdr:rowOff>
                  </from>
                  <to>
                    <xdr:col>5</xdr:col>
                    <xdr:colOff>533400</xdr:colOff>
                    <xdr:row>12</xdr:row>
                    <xdr:rowOff>76200</xdr:rowOff>
                  </to>
                </anchor>
              </controlPr>
            </control>
          </mc:Choice>
        </mc:AlternateContent>
        <mc:AlternateContent xmlns:mc="http://schemas.openxmlformats.org/markup-compatibility/2006">
          <mc:Choice Requires="x14">
            <control shapeId="17413" r:id="rId5" name="Check Box 5">
              <controlPr defaultSize="0" autoFill="0" autoLine="0" autoPict="0">
                <anchor moveWithCells="1">
                  <from>
                    <xdr:col>5</xdr:col>
                    <xdr:colOff>276225</xdr:colOff>
                    <xdr:row>13</xdr:row>
                    <xdr:rowOff>85725</xdr:rowOff>
                  </from>
                  <to>
                    <xdr:col>5</xdr:col>
                    <xdr:colOff>523875</xdr:colOff>
                    <xdr:row>14</xdr:row>
                    <xdr:rowOff>152400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D094E-0A3B-4D4F-A26B-3F69513DE18D}">
  <sheetPr codeName="Hoja16">
    <pageSetUpPr autoPageBreaks="0"/>
  </sheetPr>
  <dimension ref="A1:S168"/>
  <sheetViews>
    <sheetView showGridLines="0" showRowColHeaders="0" zoomScale="80" zoomScaleNormal="80" workbookViewId="0">
      <selection activeCell="H9" sqref="H9"/>
    </sheetView>
  </sheetViews>
  <sheetFormatPr baseColWidth="10" defaultColWidth="0" defaultRowHeight="15" zeroHeight="1" x14ac:dyDescent="0.25"/>
  <cols>
    <col min="1" max="11" width="11.42578125" style="120" customWidth="1"/>
    <col min="12" max="12" width="12.5703125" style="120" customWidth="1"/>
    <col min="13" max="17" width="11.42578125" style="120" customWidth="1"/>
    <col min="18" max="18" width="15.85546875" style="120" customWidth="1"/>
    <col min="19" max="21" width="11.42578125" style="120" hidden="1" customWidth="1"/>
    <col min="22" max="16384" width="11.42578125" style="120" hidden="1"/>
  </cols>
  <sheetData>
    <row r="1" spans="1:19" ht="15" customHeight="1" x14ac:dyDescent="0.95">
      <c r="A1" s="299" t="s">
        <v>12</v>
      </c>
      <c r="B1" s="299"/>
      <c r="C1" s="299"/>
      <c r="D1" s="299"/>
      <c r="E1" s="299"/>
      <c r="F1" s="128"/>
      <c r="G1" s="128"/>
      <c r="H1" s="128"/>
      <c r="I1" s="128"/>
      <c r="J1" s="128"/>
      <c r="K1" s="128"/>
      <c r="L1" s="128"/>
      <c r="M1" s="128"/>
      <c r="N1" s="128"/>
      <c r="O1" s="128"/>
      <c r="P1" s="310" t="s">
        <v>1</v>
      </c>
      <c r="Q1" s="310"/>
      <c r="R1" s="310"/>
      <c r="S1" s="121"/>
    </row>
    <row r="2" spans="1:19" ht="15" customHeight="1" x14ac:dyDescent="0.95">
      <c r="A2" s="299"/>
      <c r="B2" s="299"/>
      <c r="C2" s="299"/>
      <c r="D2" s="299"/>
      <c r="E2" s="299"/>
      <c r="F2" s="128"/>
      <c r="G2" s="128"/>
      <c r="H2" s="128"/>
      <c r="I2" s="128"/>
      <c r="J2" s="128"/>
      <c r="K2" s="128"/>
      <c r="L2" s="128"/>
      <c r="M2" s="128"/>
      <c r="N2" s="128"/>
      <c r="O2" s="147"/>
      <c r="P2" s="310"/>
      <c r="Q2" s="310"/>
      <c r="R2" s="310"/>
      <c r="S2" s="121"/>
    </row>
    <row r="3" spans="1:19" ht="15" customHeight="1" x14ac:dyDescent="0.95">
      <c r="A3" s="299"/>
      <c r="B3" s="299"/>
      <c r="C3" s="299"/>
      <c r="D3" s="299"/>
      <c r="E3" s="299"/>
      <c r="F3" s="128"/>
      <c r="G3" s="128"/>
      <c r="H3" s="128"/>
      <c r="I3" s="128"/>
      <c r="J3" s="128"/>
      <c r="K3" s="128"/>
      <c r="L3" s="128"/>
      <c r="M3" s="128"/>
      <c r="N3" s="128"/>
      <c r="O3" s="147"/>
      <c r="P3" s="310"/>
      <c r="Q3" s="310"/>
      <c r="R3" s="310"/>
      <c r="S3" s="121"/>
    </row>
    <row r="4" spans="1:19" ht="15" customHeight="1" x14ac:dyDescent="0.95">
      <c r="A4" s="299"/>
      <c r="B4" s="299"/>
      <c r="C4" s="299"/>
      <c r="D4" s="299"/>
      <c r="E4" s="299"/>
      <c r="F4" s="128"/>
      <c r="G4" s="128"/>
      <c r="H4" s="128"/>
      <c r="I4" s="128"/>
      <c r="J4" s="128"/>
      <c r="K4" s="128"/>
      <c r="L4" s="128"/>
      <c r="M4" s="128"/>
      <c r="N4" s="128"/>
      <c r="O4" s="147"/>
      <c r="P4" s="310"/>
      <c r="Q4" s="310"/>
      <c r="R4" s="310"/>
      <c r="S4" s="121"/>
    </row>
    <row r="5" spans="1:19" ht="15" customHeight="1" x14ac:dyDescent="0.95">
      <c r="A5" s="299"/>
      <c r="B5" s="299"/>
      <c r="C5" s="299"/>
      <c r="D5" s="299"/>
      <c r="E5" s="299"/>
      <c r="F5" s="128"/>
      <c r="G5" s="128"/>
      <c r="H5" s="128"/>
      <c r="I5" s="128"/>
      <c r="J5" s="128"/>
      <c r="K5" s="128"/>
      <c r="L5" s="128"/>
      <c r="M5" s="128"/>
      <c r="N5" s="128"/>
      <c r="O5" s="147"/>
      <c r="P5" s="310"/>
      <c r="Q5" s="310"/>
      <c r="R5" s="310"/>
      <c r="S5" s="121"/>
    </row>
    <row r="6" spans="1:19" ht="15" customHeight="1" x14ac:dyDescent="0.95">
      <c r="A6" s="299"/>
      <c r="B6" s="299"/>
      <c r="C6" s="299"/>
      <c r="D6" s="299"/>
      <c r="E6" s="299"/>
      <c r="F6" s="99"/>
      <c r="G6" s="99"/>
      <c r="H6" s="99"/>
      <c r="I6" s="99"/>
      <c r="J6" s="99"/>
      <c r="K6" s="99"/>
      <c r="L6" s="99"/>
      <c r="M6" s="99"/>
      <c r="N6" s="99"/>
      <c r="O6" s="148"/>
      <c r="P6" s="310"/>
      <c r="Q6" s="310"/>
      <c r="R6" s="310"/>
      <c r="S6" s="121"/>
    </row>
    <row r="7" spans="1:19" ht="15" customHeight="1" x14ac:dyDescent="0.95">
      <c r="A7" s="299" t="s">
        <v>6</v>
      </c>
      <c r="B7" s="299"/>
      <c r="C7" s="299"/>
      <c r="D7" s="299"/>
      <c r="E7" s="299"/>
      <c r="F7" s="99"/>
      <c r="G7" s="99"/>
      <c r="H7" s="99"/>
      <c r="I7" s="99"/>
      <c r="J7" s="99"/>
      <c r="K7" s="99"/>
      <c r="L7" s="99"/>
      <c r="M7" s="99"/>
      <c r="N7" s="99"/>
      <c r="O7" s="148"/>
      <c r="P7" s="310"/>
      <c r="Q7" s="310"/>
      <c r="R7" s="310"/>
      <c r="S7" s="121"/>
    </row>
    <row r="8" spans="1:19" ht="15" customHeight="1" x14ac:dyDescent="0.95">
      <c r="A8" s="299"/>
      <c r="B8" s="299"/>
      <c r="C8" s="299"/>
      <c r="D8" s="299"/>
      <c r="E8" s="299"/>
      <c r="F8" s="99"/>
      <c r="G8" s="99"/>
      <c r="H8" s="99"/>
      <c r="I8" s="99"/>
      <c r="J8" s="99"/>
      <c r="K8" s="99"/>
      <c r="L8" s="99"/>
      <c r="M8" s="99"/>
      <c r="N8" s="99"/>
      <c r="O8" s="148"/>
      <c r="P8" s="310"/>
      <c r="Q8" s="310"/>
      <c r="R8" s="310"/>
      <c r="S8" s="121"/>
    </row>
    <row r="9" spans="1:19" ht="15" customHeight="1" x14ac:dyDescent="0.95">
      <c r="A9" s="299"/>
      <c r="B9" s="299"/>
      <c r="C9" s="299"/>
      <c r="D9" s="299"/>
      <c r="E9" s="299"/>
      <c r="F9" s="317" t="s">
        <v>13</v>
      </c>
      <c r="G9" s="318"/>
      <c r="H9" s="173">
        <v>36</v>
      </c>
      <c r="I9" s="319" t="s">
        <v>14</v>
      </c>
      <c r="J9" s="319"/>
      <c r="K9" s="319"/>
      <c r="L9" s="319"/>
      <c r="M9" s="319"/>
      <c r="N9" s="319"/>
      <c r="O9" s="320"/>
      <c r="P9" s="310"/>
      <c r="Q9" s="310"/>
      <c r="R9" s="310"/>
      <c r="S9" s="121"/>
    </row>
    <row r="10" spans="1:19" ht="15" customHeight="1" x14ac:dyDescent="0.95">
      <c r="A10" s="299"/>
      <c r="B10" s="299"/>
      <c r="C10" s="299"/>
      <c r="D10" s="299"/>
      <c r="E10" s="299"/>
      <c r="F10" s="317" t="s">
        <v>15</v>
      </c>
      <c r="G10" s="318"/>
      <c r="H10" s="174"/>
      <c r="I10" s="319" t="s">
        <v>16</v>
      </c>
      <c r="J10" s="319"/>
      <c r="K10" s="319"/>
      <c r="L10" s="319"/>
      <c r="M10" s="319"/>
      <c r="N10" s="319"/>
      <c r="O10" s="320"/>
      <c r="P10" s="310"/>
      <c r="Q10" s="310"/>
      <c r="R10" s="310"/>
      <c r="S10" s="121"/>
    </row>
    <row r="11" spans="1:19" ht="15" customHeight="1" x14ac:dyDescent="0.25">
      <c r="A11" s="299"/>
      <c r="B11" s="299"/>
      <c r="C11" s="299"/>
      <c r="D11" s="299"/>
      <c r="E11" s="299"/>
      <c r="F11" s="317" t="s">
        <v>17</v>
      </c>
      <c r="G11" s="318"/>
      <c r="H11" s="174"/>
      <c r="I11" s="325" t="s">
        <v>18</v>
      </c>
      <c r="J11" s="325"/>
      <c r="K11" s="325"/>
      <c r="L11" s="325"/>
      <c r="M11" s="325"/>
      <c r="N11" s="325"/>
      <c r="O11" s="326"/>
      <c r="P11" s="310"/>
      <c r="Q11" s="310"/>
      <c r="R11" s="310"/>
    </row>
    <row r="12" spans="1:19" ht="15" customHeight="1" x14ac:dyDescent="0.25">
      <c r="A12" s="299"/>
      <c r="B12" s="299"/>
      <c r="C12" s="299"/>
      <c r="D12" s="299"/>
      <c r="E12" s="299"/>
      <c r="F12" s="317" t="s">
        <v>19</v>
      </c>
      <c r="G12" s="318"/>
      <c r="H12" s="174"/>
      <c r="I12" s="325" t="s">
        <v>20</v>
      </c>
      <c r="J12" s="325"/>
      <c r="K12" s="325"/>
      <c r="L12" s="325"/>
      <c r="M12" s="325"/>
      <c r="N12" s="325"/>
      <c r="O12" s="326"/>
      <c r="P12" s="310"/>
      <c r="Q12" s="310"/>
      <c r="R12" s="310"/>
    </row>
    <row r="13" spans="1:19" ht="15" customHeight="1" x14ac:dyDescent="0.25">
      <c r="A13" s="299" t="s">
        <v>21</v>
      </c>
      <c r="B13" s="299"/>
      <c r="C13" s="299"/>
      <c r="D13" s="299"/>
      <c r="E13" s="299"/>
      <c r="F13" s="317" t="s">
        <v>22</v>
      </c>
      <c r="G13" s="318"/>
      <c r="H13" s="175"/>
      <c r="I13" s="325" t="s">
        <v>2773</v>
      </c>
      <c r="J13" s="325"/>
      <c r="K13" s="325"/>
      <c r="L13" s="325"/>
      <c r="M13" s="325"/>
      <c r="N13" s="325"/>
      <c r="O13" s="326"/>
      <c r="P13" s="310"/>
      <c r="Q13" s="310"/>
      <c r="R13" s="310"/>
    </row>
    <row r="14" spans="1:19" ht="15" customHeight="1" x14ac:dyDescent="0.25">
      <c r="A14" s="299"/>
      <c r="B14" s="299"/>
      <c r="C14" s="299"/>
      <c r="D14" s="299"/>
      <c r="E14" s="299"/>
      <c r="F14" s="317" t="s">
        <v>23</v>
      </c>
      <c r="G14" s="318"/>
      <c r="H14" s="188">
        <f>H10*H11*H12/3600</f>
        <v>0</v>
      </c>
      <c r="I14" s="325" t="s">
        <v>24</v>
      </c>
      <c r="J14" s="325"/>
      <c r="K14" s="325"/>
      <c r="L14" s="325"/>
      <c r="M14" s="325"/>
      <c r="N14" s="325"/>
      <c r="O14" s="326"/>
      <c r="P14" s="310"/>
      <c r="Q14" s="310"/>
      <c r="R14" s="310"/>
    </row>
    <row r="15" spans="1:19" ht="15" customHeight="1" x14ac:dyDescent="0.25">
      <c r="A15" s="299"/>
      <c r="B15" s="299"/>
      <c r="C15" s="299"/>
      <c r="D15" s="299"/>
      <c r="E15" s="299"/>
      <c r="F15" s="149"/>
      <c r="G15" s="149"/>
      <c r="H15" s="149"/>
      <c r="I15" s="149"/>
      <c r="J15" s="149"/>
      <c r="K15" s="149"/>
      <c r="L15" s="149"/>
      <c r="M15" s="149"/>
      <c r="N15" s="99"/>
      <c r="O15" s="148"/>
      <c r="P15" s="310"/>
      <c r="Q15" s="310"/>
      <c r="R15" s="310"/>
    </row>
    <row r="16" spans="1:19" ht="15" customHeight="1" x14ac:dyDescent="0.25">
      <c r="A16" s="299"/>
      <c r="B16" s="299"/>
      <c r="C16" s="299"/>
      <c r="D16" s="299"/>
      <c r="E16" s="299"/>
      <c r="F16" s="149"/>
      <c r="G16" s="149"/>
      <c r="H16" s="149"/>
      <c r="I16" s="149"/>
      <c r="J16" s="149"/>
      <c r="K16" s="149"/>
      <c r="L16" s="149"/>
      <c r="M16" s="149"/>
      <c r="N16" s="99"/>
      <c r="O16" s="148"/>
      <c r="P16" s="310"/>
      <c r="Q16" s="310"/>
      <c r="R16" s="310"/>
    </row>
    <row r="17" spans="1:18" ht="15" customHeight="1" x14ac:dyDescent="0.25">
      <c r="A17" s="299" t="s">
        <v>6</v>
      </c>
      <c r="B17" s="299"/>
      <c r="C17" s="299"/>
      <c r="D17" s="299"/>
      <c r="E17" s="299"/>
      <c r="F17" s="149"/>
      <c r="G17" s="149"/>
      <c r="H17" s="149"/>
      <c r="I17" s="149"/>
      <c r="J17" s="149"/>
      <c r="K17" s="149"/>
      <c r="L17" s="149"/>
      <c r="M17" s="149"/>
      <c r="N17" s="99"/>
      <c r="O17" s="148"/>
      <c r="P17" s="310"/>
      <c r="Q17" s="310"/>
      <c r="R17" s="310"/>
    </row>
    <row r="18" spans="1:18" ht="15" customHeight="1" x14ac:dyDescent="0.25">
      <c r="A18" s="299"/>
      <c r="B18" s="299"/>
      <c r="C18" s="299"/>
      <c r="D18" s="299"/>
      <c r="E18" s="299"/>
      <c r="F18" s="131"/>
      <c r="G18" s="130"/>
      <c r="H18" s="130"/>
      <c r="I18" s="131"/>
      <c r="J18" s="131"/>
      <c r="K18" s="329" t="s">
        <v>3109</v>
      </c>
      <c r="L18" s="329"/>
      <c r="M18" s="329" t="s">
        <v>3108</v>
      </c>
      <c r="N18" s="329"/>
      <c r="O18" s="147"/>
      <c r="P18" s="310"/>
      <c r="Q18" s="310"/>
      <c r="R18" s="310"/>
    </row>
    <row r="19" spans="1:18" ht="15" customHeight="1" x14ac:dyDescent="0.25">
      <c r="A19" s="299"/>
      <c r="B19" s="299"/>
      <c r="C19" s="299"/>
      <c r="D19" s="299"/>
      <c r="E19" s="299"/>
      <c r="F19" s="131"/>
      <c r="G19" s="130"/>
      <c r="H19" s="281" t="s">
        <v>25</v>
      </c>
      <c r="I19" s="281" t="s">
        <v>26</v>
      </c>
      <c r="J19" s="281" t="s">
        <v>27</v>
      </c>
      <c r="K19" s="281" t="s">
        <v>2999</v>
      </c>
      <c r="L19" s="281" t="s">
        <v>2998</v>
      </c>
      <c r="M19" s="281" t="s">
        <v>2999</v>
      </c>
      <c r="N19" s="281" t="s">
        <v>2998</v>
      </c>
      <c r="O19" s="147"/>
      <c r="P19" s="310"/>
      <c r="Q19" s="310"/>
      <c r="R19" s="310"/>
    </row>
    <row r="20" spans="1:18" ht="15" customHeight="1" x14ac:dyDescent="0.25">
      <c r="A20" s="299"/>
      <c r="B20" s="299"/>
      <c r="C20" s="299"/>
      <c r="D20" s="299"/>
      <c r="E20" s="299"/>
      <c r="F20" s="282"/>
      <c r="G20" s="130"/>
      <c r="H20" s="283">
        <v>0</v>
      </c>
      <c r="I20" s="284">
        <v>0</v>
      </c>
      <c r="J20" s="285">
        <f t="shared" ref="J20:J52" si="0">+$H$9*H20</f>
        <v>0</v>
      </c>
      <c r="K20" s="286">
        <f t="shared" ref="K20:K52" si="1">+$H$14*I20</f>
        <v>0</v>
      </c>
      <c r="L20" s="287">
        <v>0</v>
      </c>
      <c r="M20" s="286">
        <v>0</v>
      </c>
      <c r="N20" s="287">
        <v>0</v>
      </c>
      <c r="O20" s="147"/>
      <c r="P20" s="310"/>
      <c r="Q20" s="310"/>
      <c r="R20" s="310"/>
    </row>
    <row r="21" spans="1:18" ht="15" customHeight="1" x14ac:dyDescent="0.25">
      <c r="A21" s="299"/>
      <c r="B21" s="299"/>
      <c r="C21" s="299"/>
      <c r="D21" s="299"/>
      <c r="E21" s="299"/>
      <c r="F21" s="282"/>
      <c r="G21" s="131"/>
      <c r="H21" s="288">
        <v>0.1</v>
      </c>
      <c r="I21" s="288">
        <v>0.03</v>
      </c>
      <c r="J21" s="289">
        <f t="shared" si="0"/>
        <v>3.6</v>
      </c>
      <c r="K21" s="290">
        <f t="shared" si="1"/>
        <v>0</v>
      </c>
      <c r="L21" s="291">
        <f t="shared" ref="L21:L52" si="2">IF(+(((K20+K21)/2))*(J21-J20)/1000*60&gt;0,(((K20+K21)/2))*(J21-J20)/1000*60,0)</f>
        <v>0</v>
      </c>
      <c r="M21" s="290">
        <f t="shared" ref="M21:M52" si="3">+$H$13*I21</f>
        <v>0</v>
      </c>
      <c r="N21" s="291">
        <f t="shared" ref="N21:N52" si="4">IF(+(((M20+M21)/2))*(J21-J20)/1000*60&gt;0,(((M20+M21)/2))*(J21-J20)/1000*60,0)</f>
        <v>0</v>
      </c>
      <c r="O21" s="147"/>
      <c r="P21" s="310"/>
      <c r="Q21" s="310"/>
      <c r="R21" s="310"/>
    </row>
    <row r="22" spans="1:18" ht="15" customHeight="1" x14ac:dyDescent="0.25">
      <c r="A22" s="299"/>
      <c r="B22" s="299"/>
      <c r="C22" s="299"/>
      <c r="D22" s="299"/>
      <c r="E22" s="299"/>
      <c r="F22" s="282"/>
      <c r="G22" s="131"/>
      <c r="H22" s="283">
        <v>0.2</v>
      </c>
      <c r="I22" s="284">
        <v>0.1</v>
      </c>
      <c r="J22" s="285">
        <f t="shared" si="0"/>
        <v>7.2</v>
      </c>
      <c r="K22" s="286">
        <f t="shared" si="1"/>
        <v>0</v>
      </c>
      <c r="L22" s="287">
        <f t="shared" si="2"/>
        <v>0</v>
      </c>
      <c r="M22" s="286">
        <f t="shared" si="3"/>
        <v>0</v>
      </c>
      <c r="N22" s="287">
        <f t="shared" si="4"/>
        <v>0</v>
      </c>
      <c r="O22" s="147"/>
      <c r="P22" s="310"/>
      <c r="Q22" s="310"/>
      <c r="R22" s="310"/>
    </row>
    <row r="23" spans="1:18" ht="15" customHeight="1" x14ac:dyDescent="0.25">
      <c r="A23" s="299" t="s">
        <v>28</v>
      </c>
      <c r="B23" s="299"/>
      <c r="C23" s="299"/>
      <c r="D23" s="299"/>
      <c r="E23" s="299"/>
      <c r="F23" s="282"/>
      <c r="G23" s="131"/>
      <c r="H23" s="288">
        <v>0.3</v>
      </c>
      <c r="I23" s="288">
        <v>0.19</v>
      </c>
      <c r="J23" s="289">
        <f t="shared" si="0"/>
        <v>10.799999999999999</v>
      </c>
      <c r="K23" s="290">
        <f t="shared" si="1"/>
        <v>0</v>
      </c>
      <c r="L23" s="291">
        <f t="shared" si="2"/>
        <v>0</v>
      </c>
      <c r="M23" s="290">
        <f t="shared" si="3"/>
        <v>0</v>
      </c>
      <c r="N23" s="291">
        <f t="shared" si="4"/>
        <v>0</v>
      </c>
      <c r="O23" s="147"/>
      <c r="P23" s="146"/>
      <c r="Q23" s="146"/>
      <c r="R23" s="146"/>
    </row>
    <row r="24" spans="1:18" ht="15" customHeight="1" x14ac:dyDescent="0.25">
      <c r="A24" s="299"/>
      <c r="B24" s="299"/>
      <c r="C24" s="299"/>
      <c r="D24" s="299"/>
      <c r="E24" s="299"/>
      <c r="F24" s="282"/>
      <c r="G24" s="132"/>
      <c r="H24" s="283">
        <v>0.4</v>
      </c>
      <c r="I24" s="284">
        <v>0.31</v>
      </c>
      <c r="J24" s="285">
        <f t="shared" si="0"/>
        <v>14.4</v>
      </c>
      <c r="K24" s="286">
        <f t="shared" si="1"/>
        <v>0</v>
      </c>
      <c r="L24" s="287">
        <f t="shared" si="2"/>
        <v>0</v>
      </c>
      <c r="M24" s="286">
        <f t="shared" si="3"/>
        <v>0</v>
      </c>
      <c r="N24" s="287">
        <f t="shared" si="4"/>
        <v>0</v>
      </c>
      <c r="O24" s="147"/>
    </row>
    <row r="25" spans="1:18" ht="15" customHeight="1" x14ac:dyDescent="0.25">
      <c r="A25" s="299"/>
      <c r="B25" s="299"/>
      <c r="C25" s="299"/>
      <c r="D25" s="299"/>
      <c r="E25" s="299"/>
      <c r="F25" s="282"/>
      <c r="G25" s="132"/>
      <c r="H25" s="288">
        <v>0.5</v>
      </c>
      <c r="I25" s="288">
        <v>0.47</v>
      </c>
      <c r="J25" s="289">
        <f t="shared" si="0"/>
        <v>18</v>
      </c>
      <c r="K25" s="290">
        <f t="shared" si="1"/>
        <v>0</v>
      </c>
      <c r="L25" s="291">
        <f t="shared" si="2"/>
        <v>0</v>
      </c>
      <c r="M25" s="290">
        <f t="shared" si="3"/>
        <v>0</v>
      </c>
      <c r="N25" s="291">
        <f t="shared" si="4"/>
        <v>0</v>
      </c>
      <c r="O25" s="147"/>
    </row>
    <row r="26" spans="1:18" ht="15" customHeight="1" x14ac:dyDescent="0.25">
      <c r="A26" s="299"/>
      <c r="B26" s="299"/>
      <c r="C26" s="299"/>
      <c r="D26" s="299"/>
      <c r="E26" s="299"/>
      <c r="F26" s="282"/>
      <c r="G26" s="132"/>
      <c r="H26" s="283">
        <v>0.6</v>
      </c>
      <c r="I26" s="284">
        <v>0.66</v>
      </c>
      <c r="J26" s="285">
        <f t="shared" si="0"/>
        <v>21.599999999999998</v>
      </c>
      <c r="K26" s="286">
        <f t="shared" si="1"/>
        <v>0</v>
      </c>
      <c r="L26" s="287">
        <f t="shared" si="2"/>
        <v>0</v>
      </c>
      <c r="M26" s="286">
        <f t="shared" si="3"/>
        <v>0</v>
      </c>
      <c r="N26" s="287">
        <f t="shared" si="4"/>
        <v>0</v>
      </c>
      <c r="O26" s="147"/>
    </row>
    <row r="27" spans="1:18" ht="15" customHeight="1" x14ac:dyDescent="0.25">
      <c r="A27" s="299"/>
      <c r="B27" s="299"/>
      <c r="C27" s="299"/>
      <c r="D27" s="299"/>
      <c r="E27" s="299"/>
      <c r="F27" s="282"/>
      <c r="G27" s="133"/>
      <c r="H27" s="288">
        <v>0.7</v>
      </c>
      <c r="I27" s="288">
        <v>0.82</v>
      </c>
      <c r="J27" s="289">
        <f t="shared" si="0"/>
        <v>25.2</v>
      </c>
      <c r="K27" s="290">
        <f t="shared" si="1"/>
        <v>0</v>
      </c>
      <c r="L27" s="291">
        <f t="shared" si="2"/>
        <v>0</v>
      </c>
      <c r="M27" s="290">
        <f t="shared" si="3"/>
        <v>0</v>
      </c>
      <c r="N27" s="291">
        <f t="shared" si="4"/>
        <v>0</v>
      </c>
      <c r="O27" s="147"/>
    </row>
    <row r="28" spans="1:18" ht="15" customHeight="1" x14ac:dyDescent="0.25">
      <c r="A28" s="299"/>
      <c r="B28" s="299"/>
      <c r="C28" s="299"/>
      <c r="D28" s="299"/>
      <c r="E28" s="299"/>
      <c r="F28" s="282"/>
      <c r="G28" s="133"/>
      <c r="H28" s="283">
        <v>0.8</v>
      </c>
      <c r="I28" s="284">
        <v>0.93</v>
      </c>
      <c r="J28" s="285">
        <f t="shared" si="0"/>
        <v>28.8</v>
      </c>
      <c r="K28" s="286">
        <f t="shared" si="1"/>
        <v>0</v>
      </c>
      <c r="L28" s="287">
        <f t="shared" si="2"/>
        <v>0</v>
      </c>
      <c r="M28" s="286">
        <f t="shared" si="3"/>
        <v>0</v>
      </c>
      <c r="N28" s="287">
        <f t="shared" si="4"/>
        <v>0</v>
      </c>
      <c r="O28" s="147"/>
    </row>
    <row r="29" spans="1:18" ht="15" customHeight="1" x14ac:dyDescent="0.25">
      <c r="F29" s="282"/>
      <c r="G29" s="133"/>
      <c r="H29" s="288">
        <v>0.9</v>
      </c>
      <c r="I29" s="288">
        <v>0.99</v>
      </c>
      <c r="J29" s="289">
        <f t="shared" si="0"/>
        <v>32.4</v>
      </c>
      <c r="K29" s="290">
        <f t="shared" si="1"/>
        <v>0</v>
      </c>
      <c r="L29" s="291">
        <f t="shared" si="2"/>
        <v>0</v>
      </c>
      <c r="M29" s="290">
        <f t="shared" si="3"/>
        <v>0</v>
      </c>
      <c r="N29" s="291">
        <f t="shared" si="4"/>
        <v>0</v>
      </c>
      <c r="O29" s="147"/>
    </row>
    <row r="30" spans="1:18" ht="15" customHeight="1" x14ac:dyDescent="0.25">
      <c r="F30" s="282"/>
      <c r="G30" s="133"/>
      <c r="H30" s="283">
        <v>1</v>
      </c>
      <c r="I30" s="284">
        <v>1</v>
      </c>
      <c r="J30" s="285">
        <f t="shared" si="0"/>
        <v>36</v>
      </c>
      <c r="K30" s="286">
        <f t="shared" si="1"/>
        <v>0</v>
      </c>
      <c r="L30" s="287">
        <f t="shared" si="2"/>
        <v>0</v>
      </c>
      <c r="M30" s="286">
        <f t="shared" si="3"/>
        <v>0</v>
      </c>
      <c r="N30" s="287">
        <f t="shared" si="4"/>
        <v>0</v>
      </c>
      <c r="O30" s="147"/>
    </row>
    <row r="31" spans="1:18" ht="15" customHeight="1" x14ac:dyDescent="0.25">
      <c r="F31" s="282"/>
      <c r="G31" s="133"/>
      <c r="H31" s="288">
        <v>1.1000000000000001</v>
      </c>
      <c r="I31" s="288">
        <v>0.99</v>
      </c>
      <c r="J31" s="289">
        <f t="shared" si="0"/>
        <v>39.6</v>
      </c>
      <c r="K31" s="290">
        <f t="shared" si="1"/>
        <v>0</v>
      </c>
      <c r="L31" s="291">
        <f t="shared" si="2"/>
        <v>0</v>
      </c>
      <c r="M31" s="290">
        <f t="shared" si="3"/>
        <v>0</v>
      </c>
      <c r="N31" s="291">
        <f t="shared" si="4"/>
        <v>0</v>
      </c>
      <c r="O31" s="147"/>
    </row>
    <row r="32" spans="1:18" ht="15" customHeight="1" x14ac:dyDescent="0.25">
      <c r="F32" s="282"/>
      <c r="G32" s="133"/>
      <c r="H32" s="283">
        <v>1.2</v>
      </c>
      <c r="I32" s="284">
        <v>0.93</v>
      </c>
      <c r="J32" s="285">
        <f t="shared" si="0"/>
        <v>43.199999999999996</v>
      </c>
      <c r="K32" s="286">
        <f t="shared" si="1"/>
        <v>0</v>
      </c>
      <c r="L32" s="287">
        <f t="shared" si="2"/>
        <v>0</v>
      </c>
      <c r="M32" s="286">
        <f t="shared" si="3"/>
        <v>0</v>
      </c>
      <c r="N32" s="287">
        <f t="shared" si="4"/>
        <v>0</v>
      </c>
      <c r="O32" s="147"/>
    </row>
    <row r="33" spans="6:15" ht="15" customHeight="1" x14ac:dyDescent="0.25">
      <c r="F33" s="282"/>
      <c r="G33" s="133"/>
      <c r="H33" s="288">
        <v>1.3</v>
      </c>
      <c r="I33" s="288">
        <v>0.86</v>
      </c>
      <c r="J33" s="289">
        <f t="shared" si="0"/>
        <v>46.800000000000004</v>
      </c>
      <c r="K33" s="290">
        <f t="shared" si="1"/>
        <v>0</v>
      </c>
      <c r="L33" s="291">
        <f t="shared" si="2"/>
        <v>0</v>
      </c>
      <c r="M33" s="290">
        <f t="shared" si="3"/>
        <v>0</v>
      </c>
      <c r="N33" s="291">
        <f t="shared" si="4"/>
        <v>0</v>
      </c>
      <c r="O33" s="147"/>
    </row>
    <row r="34" spans="6:15" ht="15" customHeight="1" x14ac:dyDescent="0.25">
      <c r="F34" s="282"/>
      <c r="G34" s="133"/>
      <c r="H34" s="283">
        <v>1.4</v>
      </c>
      <c r="I34" s="284">
        <v>0.78</v>
      </c>
      <c r="J34" s="285">
        <f t="shared" si="0"/>
        <v>50.4</v>
      </c>
      <c r="K34" s="286">
        <f t="shared" si="1"/>
        <v>0</v>
      </c>
      <c r="L34" s="287">
        <f t="shared" si="2"/>
        <v>0</v>
      </c>
      <c r="M34" s="286">
        <f t="shared" si="3"/>
        <v>0</v>
      </c>
      <c r="N34" s="287">
        <f t="shared" si="4"/>
        <v>0</v>
      </c>
      <c r="O34" s="147"/>
    </row>
    <row r="35" spans="6:15" ht="15" customHeight="1" x14ac:dyDescent="0.25">
      <c r="F35" s="282"/>
      <c r="G35" s="133"/>
      <c r="H35" s="288">
        <v>1.5</v>
      </c>
      <c r="I35" s="288">
        <v>0.68</v>
      </c>
      <c r="J35" s="289">
        <f t="shared" si="0"/>
        <v>54</v>
      </c>
      <c r="K35" s="290">
        <f t="shared" si="1"/>
        <v>0</v>
      </c>
      <c r="L35" s="291">
        <f t="shared" si="2"/>
        <v>0</v>
      </c>
      <c r="M35" s="290">
        <f t="shared" si="3"/>
        <v>0</v>
      </c>
      <c r="N35" s="291">
        <f t="shared" si="4"/>
        <v>0</v>
      </c>
      <c r="O35" s="147"/>
    </row>
    <row r="36" spans="6:15" ht="15" customHeight="1" x14ac:dyDescent="0.25">
      <c r="F36" s="282"/>
      <c r="G36" s="133"/>
      <c r="H36" s="283">
        <v>1.6</v>
      </c>
      <c r="I36" s="284">
        <v>0.56000000000000005</v>
      </c>
      <c r="J36" s="285">
        <f t="shared" si="0"/>
        <v>57.6</v>
      </c>
      <c r="K36" s="286">
        <f t="shared" si="1"/>
        <v>0</v>
      </c>
      <c r="L36" s="287">
        <f t="shared" si="2"/>
        <v>0</v>
      </c>
      <c r="M36" s="286">
        <f t="shared" si="3"/>
        <v>0</v>
      </c>
      <c r="N36" s="287">
        <f t="shared" si="4"/>
        <v>0</v>
      </c>
      <c r="O36" s="147"/>
    </row>
    <row r="37" spans="6:15" ht="15" customHeight="1" x14ac:dyDescent="0.25">
      <c r="F37" s="282"/>
      <c r="G37" s="133"/>
      <c r="H37" s="288">
        <v>1.7</v>
      </c>
      <c r="I37" s="288">
        <v>0.46</v>
      </c>
      <c r="J37" s="289">
        <f t="shared" si="0"/>
        <v>61.199999999999996</v>
      </c>
      <c r="K37" s="290">
        <f t="shared" si="1"/>
        <v>0</v>
      </c>
      <c r="L37" s="291">
        <f t="shared" si="2"/>
        <v>0</v>
      </c>
      <c r="M37" s="290">
        <f t="shared" si="3"/>
        <v>0</v>
      </c>
      <c r="N37" s="291">
        <f t="shared" si="4"/>
        <v>0</v>
      </c>
      <c r="O37" s="147"/>
    </row>
    <row r="38" spans="6:15" ht="15" customHeight="1" x14ac:dyDescent="0.25">
      <c r="F38" s="282"/>
      <c r="G38" s="133"/>
      <c r="H38" s="283">
        <v>1.8</v>
      </c>
      <c r="I38" s="284">
        <v>0.39</v>
      </c>
      <c r="J38" s="285">
        <f t="shared" si="0"/>
        <v>64.8</v>
      </c>
      <c r="K38" s="286">
        <f t="shared" si="1"/>
        <v>0</v>
      </c>
      <c r="L38" s="287">
        <f t="shared" si="2"/>
        <v>0</v>
      </c>
      <c r="M38" s="286">
        <f t="shared" si="3"/>
        <v>0</v>
      </c>
      <c r="N38" s="287">
        <f t="shared" si="4"/>
        <v>0</v>
      </c>
      <c r="O38" s="147"/>
    </row>
    <row r="39" spans="6:15" ht="15" customHeight="1" x14ac:dyDescent="0.25">
      <c r="F39" s="282"/>
      <c r="G39" s="133"/>
      <c r="H39" s="288">
        <v>1.9</v>
      </c>
      <c r="I39" s="288">
        <v>0.33</v>
      </c>
      <c r="J39" s="289">
        <f t="shared" si="0"/>
        <v>68.399999999999991</v>
      </c>
      <c r="K39" s="290">
        <f t="shared" si="1"/>
        <v>0</v>
      </c>
      <c r="L39" s="291">
        <f t="shared" si="2"/>
        <v>0</v>
      </c>
      <c r="M39" s="290">
        <f t="shared" si="3"/>
        <v>0</v>
      </c>
      <c r="N39" s="291">
        <f t="shared" si="4"/>
        <v>0</v>
      </c>
      <c r="O39" s="147"/>
    </row>
    <row r="40" spans="6:15" ht="15" customHeight="1" x14ac:dyDescent="0.25">
      <c r="F40" s="282"/>
      <c r="G40" s="133"/>
      <c r="H40" s="283">
        <v>2</v>
      </c>
      <c r="I40" s="284">
        <v>0.28000000000000003</v>
      </c>
      <c r="J40" s="285">
        <f t="shared" si="0"/>
        <v>72</v>
      </c>
      <c r="K40" s="286">
        <f t="shared" si="1"/>
        <v>0</v>
      </c>
      <c r="L40" s="287">
        <f t="shared" si="2"/>
        <v>0</v>
      </c>
      <c r="M40" s="286">
        <f t="shared" si="3"/>
        <v>0</v>
      </c>
      <c r="N40" s="287">
        <f t="shared" si="4"/>
        <v>0</v>
      </c>
      <c r="O40" s="147"/>
    </row>
    <row r="41" spans="6:15" ht="15" customHeight="1" x14ac:dyDescent="0.25">
      <c r="F41" s="282"/>
      <c r="G41" s="133"/>
      <c r="H41" s="288">
        <v>2.2000000000000002</v>
      </c>
      <c r="I41" s="288">
        <v>0.20699999999999999</v>
      </c>
      <c r="J41" s="289">
        <f t="shared" si="0"/>
        <v>79.2</v>
      </c>
      <c r="K41" s="290">
        <f t="shared" si="1"/>
        <v>0</v>
      </c>
      <c r="L41" s="291">
        <f t="shared" si="2"/>
        <v>0</v>
      </c>
      <c r="M41" s="290">
        <f t="shared" si="3"/>
        <v>0</v>
      </c>
      <c r="N41" s="291">
        <f t="shared" si="4"/>
        <v>0</v>
      </c>
      <c r="O41" s="147"/>
    </row>
    <row r="42" spans="6:15" ht="15" customHeight="1" x14ac:dyDescent="0.25">
      <c r="F42" s="282"/>
      <c r="G42" s="133"/>
      <c r="H42" s="283">
        <v>2.4</v>
      </c>
      <c r="I42" s="284">
        <v>0.14699999999999999</v>
      </c>
      <c r="J42" s="285">
        <f t="shared" si="0"/>
        <v>86.399999999999991</v>
      </c>
      <c r="K42" s="286">
        <f t="shared" si="1"/>
        <v>0</v>
      </c>
      <c r="L42" s="287">
        <f t="shared" si="2"/>
        <v>0</v>
      </c>
      <c r="M42" s="286">
        <f t="shared" si="3"/>
        <v>0</v>
      </c>
      <c r="N42" s="287">
        <f t="shared" si="4"/>
        <v>0</v>
      </c>
      <c r="O42" s="147"/>
    </row>
    <row r="43" spans="6:15" ht="15" customHeight="1" x14ac:dyDescent="0.25">
      <c r="F43" s="282"/>
      <c r="G43" s="133"/>
      <c r="H43" s="288">
        <v>2.6</v>
      </c>
      <c r="I43" s="288">
        <v>0.107</v>
      </c>
      <c r="J43" s="289">
        <f t="shared" si="0"/>
        <v>93.600000000000009</v>
      </c>
      <c r="K43" s="290">
        <f t="shared" si="1"/>
        <v>0</v>
      </c>
      <c r="L43" s="291">
        <f t="shared" si="2"/>
        <v>0</v>
      </c>
      <c r="M43" s="290">
        <f t="shared" si="3"/>
        <v>0</v>
      </c>
      <c r="N43" s="291">
        <f t="shared" si="4"/>
        <v>0</v>
      </c>
      <c r="O43" s="147"/>
    </row>
    <row r="44" spans="6:15" ht="15" customHeight="1" x14ac:dyDescent="0.25">
      <c r="F44" s="282"/>
      <c r="G44" s="133"/>
      <c r="H44" s="283">
        <v>2.8</v>
      </c>
      <c r="I44" s="284">
        <v>7.6999999999999999E-2</v>
      </c>
      <c r="J44" s="285">
        <f t="shared" si="0"/>
        <v>100.8</v>
      </c>
      <c r="K44" s="286">
        <f t="shared" si="1"/>
        <v>0</v>
      </c>
      <c r="L44" s="287">
        <f t="shared" si="2"/>
        <v>0</v>
      </c>
      <c r="M44" s="286">
        <f t="shared" si="3"/>
        <v>0</v>
      </c>
      <c r="N44" s="287">
        <f t="shared" si="4"/>
        <v>0</v>
      </c>
      <c r="O44" s="147"/>
    </row>
    <row r="45" spans="6:15" ht="15" customHeight="1" x14ac:dyDescent="0.25">
      <c r="F45" s="282"/>
      <c r="G45" s="133"/>
      <c r="H45" s="288">
        <v>3</v>
      </c>
      <c r="I45" s="288">
        <v>5.5E-2</v>
      </c>
      <c r="J45" s="289">
        <f t="shared" si="0"/>
        <v>108</v>
      </c>
      <c r="K45" s="290">
        <f t="shared" si="1"/>
        <v>0</v>
      </c>
      <c r="L45" s="291">
        <f t="shared" si="2"/>
        <v>0</v>
      </c>
      <c r="M45" s="290">
        <f t="shared" si="3"/>
        <v>0</v>
      </c>
      <c r="N45" s="291">
        <f t="shared" si="4"/>
        <v>0</v>
      </c>
      <c r="O45" s="147"/>
    </row>
    <row r="46" spans="6:15" ht="15" customHeight="1" x14ac:dyDescent="0.25">
      <c r="F46" s="282"/>
      <c r="G46" s="133"/>
      <c r="H46" s="283">
        <v>3.2</v>
      </c>
      <c r="I46" s="284">
        <v>0.04</v>
      </c>
      <c r="J46" s="285">
        <f t="shared" si="0"/>
        <v>115.2</v>
      </c>
      <c r="K46" s="286">
        <f t="shared" si="1"/>
        <v>0</v>
      </c>
      <c r="L46" s="287">
        <f t="shared" si="2"/>
        <v>0</v>
      </c>
      <c r="M46" s="286">
        <f t="shared" si="3"/>
        <v>0</v>
      </c>
      <c r="N46" s="287">
        <f t="shared" si="4"/>
        <v>0</v>
      </c>
      <c r="O46" s="147"/>
    </row>
    <row r="47" spans="6:15" ht="15" customHeight="1" x14ac:dyDescent="0.25">
      <c r="F47" s="282"/>
      <c r="G47" s="133"/>
      <c r="H47" s="288">
        <v>3.4</v>
      </c>
      <c r="I47" s="288">
        <v>2.9000000000000001E-2</v>
      </c>
      <c r="J47" s="289">
        <f t="shared" si="0"/>
        <v>122.39999999999999</v>
      </c>
      <c r="K47" s="290">
        <f t="shared" si="1"/>
        <v>0</v>
      </c>
      <c r="L47" s="291">
        <f t="shared" si="2"/>
        <v>0</v>
      </c>
      <c r="M47" s="290">
        <f t="shared" si="3"/>
        <v>0</v>
      </c>
      <c r="N47" s="291">
        <f t="shared" si="4"/>
        <v>0</v>
      </c>
      <c r="O47" s="147"/>
    </row>
    <row r="48" spans="6:15" ht="15" customHeight="1" x14ac:dyDescent="0.25">
      <c r="F48" s="282"/>
      <c r="G48" s="133"/>
      <c r="H48" s="283">
        <v>3.6</v>
      </c>
      <c r="I48" s="284">
        <v>2.1000000000000001E-2</v>
      </c>
      <c r="J48" s="285">
        <f t="shared" si="0"/>
        <v>129.6</v>
      </c>
      <c r="K48" s="286">
        <f t="shared" si="1"/>
        <v>0</v>
      </c>
      <c r="L48" s="287">
        <f t="shared" si="2"/>
        <v>0</v>
      </c>
      <c r="M48" s="286">
        <f t="shared" si="3"/>
        <v>0</v>
      </c>
      <c r="N48" s="287">
        <f t="shared" si="4"/>
        <v>0</v>
      </c>
      <c r="O48" s="147"/>
    </row>
    <row r="49" spans="6:15" ht="15" customHeight="1" x14ac:dyDescent="0.25">
      <c r="F49" s="282"/>
      <c r="G49" s="133"/>
      <c r="H49" s="288">
        <v>3.8</v>
      </c>
      <c r="I49" s="288">
        <v>1.4999999999999999E-2</v>
      </c>
      <c r="J49" s="289">
        <f t="shared" si="0"/>
        <v>136.79999999999998</v>
      </c>
      <c r="K49" s="290">
        <f t="shared" si="1"/>
        <v>0</v>
      </c>
      <c r="L49" s="291">
        <f t="shared" si="2"/>
        <v>0</v>
      </c>
      <c r="M49" s="290">
        <f t="shared" si="3"/>
        <v>0</v>
      </c>
      <c r="N49" s="291">
        <f t="shared" si="4"/>
        <v>0</v>
      </c>
      <c r="O49" s="147"/>
    </row>
    <row r="50" spans="6:15" ht="15" customHeight="1" x14ac:dyDescent="0.25">
      <c r="F50" s="282"/>
      <c r="G50" s="133"/>
      <c r="H50" s="283">
        <v>4</v>
      </c>
      <c r="I50" s="284">
        <v>1.0999999999999999E-2</v>
      </c>
      <c r="J50" s="285">
        <f t="shared" si="0"/>
        <v>144</v>
      </c>
      <c r="K50" s="286">
        <f t="shared" si="1"/>
        <v>0</v>
      </c>
      <c r="L50" s="287">
        <f t="shared" si="2"/>
        <v>0</v>
      </c>
      <c r="M50" s="286">
        <f t="shared" si="3"/>
        <v>0</v>
      </c>
      <c r="N50" s="287">
        <f t="shared" si="4"/>
        <v>0</v>
      </c>
      <c r="O50" s="147"/>
    </row>
    <row r="51" spans="6:15" ht="15" customHeight="1" x14ac:dyDescent="0.25">
      <c r="F51" s="282"/>
      <c r="G51" s="133"/>
      <c r="H51" s="288">
        <v>4.5</v>
      </c>
      <c r="I51" s="288">
        <v>5.0000000000000001E-3</v>
      </c>
      <c r="J51" s="289">
        <f t="shared" si="0"/>
        <v>162</v>
      </c>
      <c r="K51" s="290">
        <f t="shared" si="1"/>
        <v>0</v>
      </c>
      <c r="L51" s="291">
        <f t="shared" si="2"/>
        <v>0</v>
      </c>
      <c r="M51" s="290">
        <f t="shared" si="3"/>
        <v>0</v>
      </c>
      <c r="N51" s="291">
        <f t="shared" si="4"/>
        <v>0</v>
      </c>
      <c r="O51" s="147"/>
    </row>
    <row r="52" spans="6:15" ht="15" customHeight="1" x14ac:dyDescent="0.25">
      <c r="F52" s="282"/>
      <c r="G52" s="133"/>
      <c r="H52" s="283">
        <v>5</v>
      </c>
      <c r="I52" s="283">
        <v>0</v>
      </c>
      <c r="J52" s="285">
        <f t="shared" si="0"/>
        <v>180</v>
      </c>
      <c r="K52" s="286">
        <f t="shared" si="1"/>
        <v>0</v>
      </c>
      <c r="L52" s="287">
        <f t="shared" si="2"/>
        <v>0</v>
      </c>
      <c r="M52" s="286">
        <f t="shared" si="3"/>
        <v>0</v>
      </c>
      <c r="N52" s="287">
        <f t="shared" si="4"/>
        <v>0</v>
      </c>
      <c r="O52" s="147"/>
    </row>
    <row r="53" spans="6:15" ht="15" customHeight="1" x14ac:dyDescent="0.3">
      <c r="F53" s="133"/>
      <c r="G53" s="133"/>
      <c r="H53" s="128"/>
      <c r="I53" s="128"/>
      <c r="J53" s="128"/>
      <c r="K53" s="128"/>
      <c r="L53" s="295">
        <f>IFERROR(SUM(L20:L52),"")</f>
        <v>0</v>
      </c>
      <c r="M53" s="128"/>
      <c r="N53" s="295">
        <f>SUM(N20:N52)</f>
        <v>0</v>
      </c>
      <c r="O53" s="147"/>
    </row>
    <row r="54" spans="6:15" ht="15" customHeight="1" x14ac:dyDescent="0.25">
      <c r="F54" s="133"/>
      <c r="G54" s="133"/>
      <c r="H54" s="330" t="s">
        <v>3107</v>
      </c>
      <c r="I54" s="331"/>
      <c r="J54" s="331"/>
      <c r="K54" s="331"/>
      <c r="L54" s="332"/>
      <c r="M54" s="333">
        <f>IF(AND(L53-N53&lt;0,H14=0),ABS(L53-N53),IF(AND(L53-N53&lt;0,H14&lt;&gt;0),"REVISAR",L53-N53))</f>
        <v>0</v>
      </c>
      <c r="N54" s="334"/>
      <c r="O54" s="147"/>
    </row>
    <row r="55" spans="6:15" ht="15" customHeight="1" x14ac:dyDescent="0.25">
      <c r="F55" s="133"/>
      <c r="G55" s="133"/>
      <c r="H55" s="133"/>
      <c r="I55" s="133"/>
      <c r="J55" s="133"/>
      <c r="K55" s="133"/>
      <c r="L55" s="133"/>
      <c r="M55" s="133"/>
      <c r="N55" s="128"/>
      <c r="O55" s="128"/>
    </row>
    <row r="56" spans="6:15" ht="15" customHeight="1" x14ac:dyDescent="0.25">
      <c r="F56" s="133"/>
      <c r="G56" s="133"/>
      <c r="H56" s="133"/>
      <c r="I56" s="133"/>
      <c r="J56" s="133"/>
      <c r="K56" s="133"/>
      <c r="L56" s="133"/>
      <c r="M56" s="133"/>
      <c r="N56" s="128"/>
      <c r="O56" s="128"/>
    </row>
    <row r="57" spans="6:15" ht="15" customHeight="1" x14ac:dyDescent="0.25">
      <c r="F57" s="133"/>
      <c r="G57" s="133"/>
      <c r="H57" s="133"/>
      <c r="I57" s="133"/>
      <c r="J57" s="133"/>
      <c r="K57" s="133"/>
      <c r="L57" s="133"/>
      <c r="M57" s="133"/>
      <c r="N57" s="128"/>
      <c r="O57" s="128"/>
    </row>
    <row r="58" spans="6:15" ht="15" customHeight="1" x14ac:dyDescent="0.25">
      <c r="F58" s="133"/>
      <c r="G58" s="133"/>
      <c r="H58" s="133"/>
      <c r="I58" s="133"/>
      <c r="J58" s="133"/>
      <c r="K58" s="133"/>
      <c r="L58" s="133"/>
      <c r="M58" s="133"/>
      <c r="N58" s="128"/>
      <c r="O58" s="128"/>
    </row>
    <row r="59" spans="6:15" ht="15" customHeight="1" x14ac:dyDescent="0.25">
      <c r="F59" s="133"/>
      <c r="G59" s="133"/>
      <c r="H59" s="133"/>
      <c r="I59" s="133"/>
      <c r="J59" s="133"/>
      <c r="K59" s="133"/>
      <c r="L59" s="133"/>
      <c r="M59" s="133"/>
      <c r="N59" s="128"/>
      <c r="O59" s="128"/>
    </row>
    <row r="60" spans="6:15" ht="15" customHeight="1" x14ac:dyDescent="0.25">
      <c r="F60" s="133"/>
      <c r="G60" s="133"/>
      <c r="H60" s="133"/>
      <c r="I60" s="133"/>
      <c r="J60" s="133"/>
      <c r="K60" s="133"/>
      <c r="L60" s="133"/>
      <c r="M60" s="133"/>
      <c r="N60" s="128"/>
      <c r="O60" s="128"/>
    </row>
    <row r="61" spans="6:15" ht="15" customHeight="1" x14ac:dyDescent="0.25">
      <c r="F61" s="133"/>
      <c r="G61" s="133"/>
      <c r="H61" s="133"/>
      <c r="I61" s="133"/>
      <c r="J61" s="133"/>
      <c r="K61" s="133"/>
      <c r="L61" s="133"/>
      <c r="M61" s="133"/>
      <c r="N61" s="128"/>
      <c r="O61" s="128"/>
    </row>
    <row r="62" spans="6:15" ht="15" customHeight="1" x14ac:dyDescent="0.25">
      <c r="F62" s="133"/>
      <c r="G62" s="133"/>
      <c r="H62" s="133"/>
      <c r="I62" s="133"/>
      <c r="J62" s="133"/>
      <c r="K62" s="133"/>
      <c r="L62" s="133"/>
      <c r="M62" s="133"/>
      <c r="N62" s="128"/>
      <c r="O62" s="128"/>
    </row>
    <row r="63" spans="6:15" ht="15" customHeight="1" x14ac:dyDescent="0.25">
      <c r="F63" s="133"/>
      <c r="G63" s="133"/>
      <c r="H63" s="133"/>
      <c r="I63" s="133"/>
      <c r="J63" s="133"/>
      <c r="K63" s="133"/>
      <c r="L63" s="133"/>
      <c r="M63" s="133"/>
      <c r="N63" s="128"/>
      <c r="O63" s="128"/>
    </row>
    <row r="64" spans="6:15" ht="15" customHeight="1" x14ac:dyDescent="0.25">
      <c r="F64" s="133"/>
      <c r="G64" s="133"/>
      <c r="H64" s="133"/>
      <c r="I64" s="133"/>
      <c r="J64" s="133"/>
      <c r="K64" s="133"/>
      <c r="L64" s="133"/>
      <c r="M64" s="133"/>
      <c r="N64" s="128"/>
      <c r="O64" s="128"/>
    </row>
    <row r="65" spans="6:15" ht="15" customHeight="1" x14ac:dyDescent="0.25">
      <c r="F65" s="133"/>
      <c r="G65" s="133"/>
      <c r="H65" s="133"/>
      <c r="I65" s="133"/>
      <c r="J65" s="133"/>
      <c r="K65" s="133"/>
      <c r="L65" s="133"/>
      <c r="M65" s="133"/>
      <c r="N65" s="128"/>
      <c r="O65" s="128"/>
    </row>
    <row r="66" spans="6:15" ht="15" customHeight="1" x14ac:dyDescent="0.25">
      <c r="F66" s="133"/>
      <c r="G66" s="133"/>
      <c r="H66" s="133"/>
      <c r="I66" s="133"/>
      <c r="J66" s="133"/>
      <c r="K66" s="133"/>
      <c r="L66" s="133"/>
      <c r="M66" s="133"/>
      <c r="N66" s="128"/>
      <c r="O66" s="128"/>
    </row>
    <row r="67" spans="6:15" ht="15" customHeight="1" x14ac:dyDescent="0.25">
      <c r="F67" s="133"/>
      <c r="G67" s="133"/>
      <c r="H67" s="133"/>
      <c r="I67" s="133"/>
      <c r="J67" s="133"/>
      <c r="K67" s="133"/>
      <c r="L67" s="133"/>
      <c r="M67" s="133"/>
      <c r="N67" s="128"/>
      <c r="O67" s="128"/>
    </row>
    <row r="68" spans="6:15" ht="15" customHeight="1" x14ac:dyDescent="0.25">
      <c r="F68" s="133"/>
      <c r="G68" s="133"/>
      <c r="H68" s="133"/>
      <c r="I68" s="133"/>
      <c r="J68" s="133"/>
      <c r="K68" s="133"/>
      <c r="L68" s="133"/>
      <c r="M68" s="133"/>
      <c r="N68" s="128"/>
      <c r="O68" s="128"/>
    </row>
    <row r="69" spans="6:15" ht="15" customHeight="1" x14ac:dyDescent="0.25">
      <c r="F69" s="133"/>
      <c r="G69" s="133"/>
      <c r="H69" s="133"/>
      <c r="I69" s="133"/>
      <c r="J69" s="133"/>
      <c r="K69" s="133"/>
      <c r="L69" s="133"/>
      <c r="M69" s="133"/>
      <c r="N69" s="128"/>
      <c r="O69" s="128"/>
    </row>
    <row r="70" spans="6:15" ht="15" customHeight="1" x14ac:dyDescent="0.25">
      <c r="F70" s="133"/>
      <c r="G70" s="133"/>
      <c r="H70" s="133"/>
      <c r="I70" s="133"/>
      <c r="J70" s="133"/>
      <c r="K70" s="133"/>
      <c r="L70" s="133"/>
      <c r="M70" s="133"/>
      <c r="N70" s="128"/>
      <c r="O70" s="128"/>
    </row>
    <row r="71" spans="6:15" ht="15" customHeight="1" x14ac:dyDescent="0.25">
      <c r="F71" s="133"/>
      <c r="G71" s="133"/>
      <c r="H71" s="133"/>
      <c r="I71" s="133"/>
      <c r="J71" s="133"/>
      <c r="K71" s="133"/>
      <c r="L71" s="133"/>
      <c r="M71" s="133"/>
      <c r="N71" s="128"/>
      <c r="O71" s="128"/>
    </row>
    <row r="72" spans="6:15" ht="15" customHeight="1" x14ac:dyDescent="0.25">
      <c r="F72" s="133"/>
      <c r="G72" s="133"/>
      <c r="H72" s="133"/>
      <c r="I72" s="133"/>
      <c r="J72" s="133"/>
      <c r="K72" s="133"/>
      <c r="L72" s="133"/>
      <c r="M72" s="133"/>
      <c r="N72" s="128"/>
      <c r="O72" s="128"/>
    </row>
    <row r="73" spans="6:15" ht="15" customHeight="1" x14ac:dyDescent="0.25">
      <c r="F73" s="133"/>
      <c r="G73" s="133"/>
      <c r="H73" s="133"/>
      <c r="I73" s="133"/>
      <c r="J73" s="133"/>
      <c r="K73" s="133"/>
      <c r="L73" s="133"/>
      <c r="M73" s="133"/>
      <c r="N73" s="128"/>
      <c r="O73" s="128"/>
    </row>
    <row r="74" spans="6:15" ht="15" customHeight="1" x14ac:dyDescent="0.25">
      <c r="F74" s="133"/>
      <c r="G74" s="133"/>
      <c r="H74" s="133"/>
      <c r="I74" s="133"/>
      <c r="J74" s="133"/>
      <c r="K74" s="133"/>
      <c r="L74" s="133"/>
      <c r="M74" s="133"/>
      <c r="N74" s="128"/>
      <c r="O74" s="128"/>
    </row>
    <row r="75" spans="6:15" ht="15" customHeight="1" x14ac:dyDescent="0.25">
      <c r="F75" s="133"/>
      <c r="G75" s="133"/>
      <c r="H75" s="133"/>
      <c r="I75" s="133"/>
      <c r="J75" s="133"/>
      <c r="K75" s="133"/>
      <c r="L75" s="133"/>
      <c r="M75" s="133"/>
      <c r="N75" s="128"/>
      <c r="O75" s="128"/>
    </row>
    <row r="76" spans="6:15" ht="15" customHeight="1" x14ac:dyDescent="0.25">
      <c r="F76" s="133"/>
      <c r="G76" s="133"/>
      <c r="H76" s="133"/>
      <c r="I76" s="133"/>
      <c r="J76" s="133"/>
      <c r="K76" s="133"/>
      <c r="L76" s="133"/>
      <c r="M76" s="133"/>
      <c r="N76" s="128"/>
      <c r="O76" s="128"/>
    </row>
    <row r="77" spans="6:15" ht="15" customHeight="1" x14ac:dyDescent="0.25">
      <c r="F77" s="133"/>
      <c r="G77" s="133"/>
      <c r="H77" s="133"/>
      <c r="I77" s="133"/>
      <c r="J77" s="133"/>
      <c r="K77" s="133"/>
      <c r="L77" s="133"/>
      <c r="M77" s="133"/>
      <c r="N77" s="128"/>
      <c r="O77" s="128"/>
    </row>
    <row r="78" spans="6:15" ht="15" customHeight="1" x14ac:dyDescent="0.25">
      <c r="F78" s="150"/>
      <c r="G78" s="150"/>
      <c r="H78" s="150"/>
      <c r="I78" s="150"/>
      <c r="J78" s="150"/>
      <c r="K78" s="150"/>
      <c r="L78" s="150"/>
      <c r="M78" s="150"/>
      <c r="N78" s="99"/>
      <c r="O78" s="99"/>
    </row>
    <row r="79" spans="6:15" ht="15" customHeight="1" x14ac:dyDescent="0.25">
      <c r="F79" s="150"/>
      <c r="G79" s="150"/>
      <c r="H79" s="150"/>
      <c r="I79" s="150"/>
      <c r="J79" s="150"/>
      <c r="K79" s="150"/>
      <c r="L79" s="150"/>
      <c r="M79" s="150"/>
      <c r="N79" s="99"/>
      <c r="O79" s="99"/>
    </row>
    <row r="80" spans="6:15" ht="15" customHeight="1" x14ac:dyDescent="0.25">
      <c r="F80" s="150"/>
      <c r="G80" s="150"/>
      <c r="H80" s="150"/>
      <c r="I80" s="150"/>
      <c r="J80" s="150"/>
      <c r="K80" s="150"/>
      <c r="L80" s="150"/>
      <c r="M80" s="150"/>
      <c r="N80" s="99"/>
      <c r="O80" s="99"/>
    </row>
    <row r="81" spans="1:15" ht="15" customHeight="1" x14ac:dyDescent="0.25">
      <c r="A81" s="229"/>
      <c r="F81" s="317" t="s">
        <v>2767</v>
      </c>
      <c r="G81" s="318"/>
      <c r="H81" s="339" t="s">
        <v>3061</v>
      </c>
      <c r="I81" s="340"/>
      <c r="J81" s="341"/>
      <c r="K81" s="341"/>
      <c r="L81" s="341"/>
      <c r="M81" s="341"/>
      <c r="N81" s="341"/>
      <c r="O81" s="341"/>
    </row>
    <row r="82" spans="1:15" ht="15" customHeight="1" x14ac:dyDescent="0.25">
      <c r="A82" s="229"/>
      <c r="F82" s="317"/>
      <c r="G82" s="318"/>
      <c r="H82" s="339"/>
      <c r="I82" s="342"/>
      <c r="J82" s="343"/>
      <c r="K82" s="343"/>
      <c r="L82" s="343"/>
      <c r="M82" s="343"/>
      <c r="N82" s="343"/>
      <c r="O82" s="343"/>
    </row>
    <row r="83" spans="1:15" ht="15" customHeight="1" x14ac:dyDescent="0.25">
      <c r="A83" s="229"/>
      <c r="F83" s="317" t="s">
        <v>30</v>
      </c>
      <c r="G83" s="318"/>
      <c r="H83" s="227"/>
      <c r="I83" s="319" t="s">
        <v>3027</v>
      </c>
      <c r="J83" s="319"/>
      <c r="K83" s="319"/>
      <c r="L83" s="319"/>
      <c r="M83" s="319"/>
      <c r="N83" s="319"/>
      <c r="O83" s="320"/>
    </row>
    <row r="84" spans="1:15" ht="15" customHeight="1" x14ac:dyDescent="0.25">
      <c r="A84" s="229">
        <v>600</v>
      </c>
      <c r="F84" s="338" t="s">
        <v>3026</v>
      </c>
      <c r="G84" s="317"/>
      <c r="H84" s="256"/>
      <c r="I84" s="319" t="str">
        <f>IF(OR(H83="Zona Peatonal",H83="Zona Verde"),"Para este tipo de superficie no se espera una carga de tráfico significativa","Indicar la carga aproximada por llanta (en toneladas) que se puede esperar en el tipo de rasante.")</f>
        <v>Indicar la carga aproximada por llanta (en toneladas) que se puede esperar en el tipo de rasante.</v>
      </c>
      <c r="J84" s="319"/>
      <c r="K84" s="319"/>
      <c r="L84" s="319"/>
      <c r="M84" s="319"/>
      <c r="N84" s="319"/>
      <c r="O84" s="320"/>
    </row>
    <row r="85" spans="1:15" ht="15" customHeight="1" x14ac:dyDescent="0.25">
      <c r="A85" s="229">
        <v>1000</v>
      </c>
      <c r="F85" s="317" t="s">
        <v>31</v>
      </c>
      <c r="G85" s="318"/>
      <c r="H85" s="227"/>
      <c r="I85" s="319" t="s">
        <v>3028</v>
      </c>
      <c r="J85" s="319"/>
      <c r="K85" s="319"/>
      <c r="L85" s="319"/>
      <c r="M85" s="319"/>
      <c r="N85" s="319"/>
      <c r="O85" s="320"/>
    </row>
    <row r="86" spans="1:15" ht="15" customHeight="1" x14ac:dyDescent="0.25">
      <c r="F86" s="317" t="s">
        <v>32</v>
      </c>
      <c r="G86" s="318"/>
      <c r="H86" s="227"/>
      <c r="I86" s="319" t="s">
        <v>3029</v>
      </c>
      <c r="J86" s="327"/>
      <c r="K86" s="327"/>
      <c r="L86" s="327"/>
      <c r="M86" s="327"/>
      <c r="N86" s="327"/>
      <c r="O86" s="328"/>
    </row>
    <row r="87" spans="1:15" ht="15" customHeight="1" x14ac:dyDescent="0.25">
      <c r="F87" s="317" t="s">
        <v>33</v>
      </c>
      <c r="G87" s="318"/>
      <c r="H87" s="188" t="str">
        <f>IF(H86&lt;&gt;"",IF(H81="Aquacell Core",H86*0.39,IF(H92&gt;0,(H86-H92)*0.4+H92*0.464,H86*0.4+0.025)),"")</f>
        <v/>
      </c>
      <c r="I87" s="319" t="str">
        <f>IF(H81="","",IF(H81="Aquacell Core","Altura calculada a partir del número de capas (Cada celda Aquacell Core tiene una altura de 0.39m).","Altura calculada a partir del número de capas (Cada celda Aquacell NG tiene una altura de 0.40m)."))</f>
        <v>Altura calculada a partir del número de capas (Cada celda Aquacell NG tiene una altura de 0.40m).</v>
      </c>
      <c r="J87" s="319"/>
      <c r="K87" s="319"/>
      <c r="L87" s="319"/>
      <c r="M87" s="319"/>
      <c r="N87" s="319"/>
      <c r="O87" s="320"/>
    </row>
    <row r="88" spans="1:15" ht="15" customHeight="1" x14ac:dyDescent="0.25">
      <c r="F88" s="317" t="s">
        <v>34</v>
      </c>
      <c r="G88" s="318"/>
      <c r="H88" s="228"/>
      <c r="I88" s="319" t="str">
        <f>IF(H81="","",IF(H81="Aquacell Core","Ingresar el ancho del tanque (En múltiplos de 0.5m).","Ingresar el ancho del tanque (En múltiplos de 0.6m)."))</f>
        <v>Ingresar el ancho del tanque (En múltiplos de 0.6m).</v>
      </c>
      <c r="J88" s="319"/>
      <c r="K88" s="319"/>
      <c r="L88" s="319"/>
      <c r="M88" s="319"/>
      <c r="N88" s="319"/>
      <c r="O88" s="320"/>
    </row>
    <row r="89" spans="1:15" ht="15" customHeight="1" x14ac:dyDescent="0.25">
      <c r="F89" s="317" t="s">
        <v>35</v>
      </c>
      <c r="G89" s="318"/>
      <c r="H89" s="228"/>
      <c r="I89" s="319" t="str">
        <f>IF(H81="","",IF(H81="Aquacell Core","Ingresar el largo del tanque (En múltiplos de 0.5m).","Ingresar el largo del tanque (En múltiplos de 1.2m)."))</f>
        <v>Ingresar el largo del tanque (En múltiplos de 1.2m).</v>
      </c>
      <c r="J89" s="319"/>
      <c r="K89" s="319"/>
      <c r="L89" s="319"/>
      <c r="M89" s="319"/>
      <c r="N89" s="319"/>
      <c r="O89" s="320"/>
    </row>
    <row r="90" spans="1:15" ht="15" customHeight="1" x14ac:dyDescent="0.25">
      <c r="D90" s="292"/>
      <c r="F90" s="317" t="str">
        <f>IF(H81="Aquacell Core",IF(AND(H88&lt;&gt;"",H89&lt;&gt;""),"Dimensión calculada",IF(H89&lt;&gt;"","Ancho recomendado (m)",IF(H88&lt;&gt;"","Largo Recomendado (m)",""))),IF(AND(H88&lt;&gt;"",H89&lt;&gt;""),"Verificación NG",IF(H89&lt;&gt;"","Ancho recomendado (m)",IF(H88&lt;&gt;"","Largo Recomendado (m)",""))))</f>
        <v/>
      </c>
      <c r="G90" s="318"/>
      <c r="H90" s="188" t="str">
        <f>IF(H81="Aquacell Core",IF(AND(H88&lt;&gt;"",H89&lt;&gt;""),"",IF(H88&lt;&gt;"",_xlfn.CEILING.MATH(M54/(H87*H88*0.95),0.5),IF(H89&lt;&gt;"",_xlfn.CEILING.MATH(M54/(H87*H89*0.95),0.5),""))),IF(AND(H88&lt;&gt;"",H89&lt;&gt;""),IF(ROUND(INT((H88*H89)/(0.6*1.2))-((H88*H89)/(0.6*1.2)),6)=0,"Ok","Verificar"),IF(H88&lt;&gt;"",_xlfn.CEILING.MATH(M54/(H87*H88*0.95),0.6),IF(H89&lt;&gt;"",_xlfn.CEILING.MATH(M54/(H87*H89*0.95),0.6),""))))</f>
        <v/>
      </c>
      <c r="I90" s="321" t="str">
        <f>IF(F90="Verificación NG","Verifica que las dimensiones del tanque Aquacell NG sean correctas.","Dimensión en planta aproximada, calculada a partir de ingresar un valor de altura y largo/ancho.")</f>
        <v>Dimensión en planta aproximada, calculada a partir de ingresar un valor de altura y largo/ancho.</v>
      </c>
      <c r="J90" s="322"/>
      <c r="K90" s="322"/>
      <c r="L90" s="322"/>
      <c r="M90" s="322"/>
      <c r="N90" s="322"/>
      <c r="O90" s="322"/>
    </row>
    <row r="91" spans="1:15" ht="15" customHeight="1" x14ac:dyDescent="0.25">
      <c r="D91" s="292"/>
      <c r="F91" s="317" t="s">
        <v>36</v>
      </c>
      <c r="G91" s="318"/>
      <c r="H91" s="188" t="str">
        <f>IFERROR(H85+H87,"")</f>
        <v/>
      </c>
      <c r="I91" s="319" t="s">
        <v>3030</v>
      </c>
      <c r="J91" s="319"/>
      <c r="K91" s="319"/>
      <c r="L91" s="319"/>
      <c r="M91" s="319"/>
      <c r="N91" s="319"/>
      <c r="O91" s="320"/>
    </row>
    <row r="92" spans="1:15" ht="15" customHeight="1" x14ac:dyDescent="0.25">
      <c r="F92" s="317" t="str">
        <f>IF(OR(H81="",H81="Aquacell Core",),"","Capas de celdas extrareforzada")</f>
        <v>Capas de celdas extrareforzada</v>
      </c>
      <c r="G92" s="318"/>
      <c r="H92" s="274"/>
      <c r="I92" s="319" t="str">
        <f>IF(H81="Aquacell Core","","Número de capas de celdas extrareforzadas. (Este tipo de celda tiene 0.46m de alto)")</f>
        <v>Número de capas de celdas extrareforzadas. (Este tipo de celda tiene 0.46m de alto)</v>
      </c>
      <c r="J92" s="319"/>
      <c r="K92" s="319"/>
      <c r="L92" s="319"/>
      <c r="M92" s="319"/>
      <c r="N92" s="319"/>
      <c r="O92" s="320"/>
    </row>
    <row r="93" spans="1:15" ht="15" customHeight="1" x14ac:dyDescent="0.25">
      <c r="F93" s="317" t="s">
        <v>37</v>
      </c>
      <c r="G93" s="318"/>
      <c r="H93" s="188" t="str">
        <f>IF(AND(H81&lt;&gt;"",H83&lt;&gt;"",H85&lt;&gt;""),H87*H88*H89,"")</f>
        <v/>
      </c>
      <c r="I93" s="319" t="str">
        <f>IF(H81="Aquacell Core","Volumen total de la estructura",IF(H92&lt;&gt;0,"Volumen total de la estructura (No se incluyen tapas de fondo).","Volumen total de la estructura (incluye el volumen de la tapa de fondo)."))</f>
        <v>Volumen total de la estructura (incluye el volumen de la tapa de fondo).</v>
      </c>
      <c r="J93" s="319"/>
      <c r="K93" s="319"/>
      <c r="L93" s="319"/>
      <c r="M93" s="319"/>
      <c r="N93" s="319"/>
      <c r="O93" s="320"/>
    </row>
    <row r="94" spans="1:15" ht="15" customHeight="1" x14ac:dyDescent="0.25">
      <c r="F94" s="317" t="s">
        <v>38</v>
      </c>
      <c r="G94" s="318"/>
      <c r="H94" s="230" t="str">
        <f>IF(AND(H81&lt;&gt;"",H83&lt;&gt;"",H85&lt;&gt;""),IF(H81="Aquacell Core",H93*0.95-(0.015*H88*H89),IF(H81="Aquacell NG",IF(H92=0,H95*0.2736-(0.05*H88*H89),(H86-H92)*(H88*H89)/(1.2*0.6)*0.2736+H92*(H88*H89)/(1.2*0.6)*0.2592-(0.05*H88*H89)),"")),"")</f>
        <v/>
      </c>
      <c r="I94" s="319" t="str">
        <f>IF(H81="Aquacell Core","Volumen de agua que puede almacenar el tanque (95% de volumen útil).","Volumen de agua que puede almacenar el tanque (95% de volumen útil - 90% en celdas extrareforzadas).")</f>
        <v>Volumen de agua que puede almacenar el tanque (95% de volumen útil - 90% en celdas extrareforzadas).</v>
      </c>
      <c r="J94" s="319"/>
      <c r="K94" s="319"/>
      <c r="L94" s="319"/>
      <c r="M94" s="319"/>
      <c r="N94" s="319"/>
      <c r="O94" s="320"/>
    </row>
    <row r="95" spans="1:15" ht="15" customHeight="1" x14ac:dyDescent="0.25">
      <c r="D95" s="122"/>
      <c r="F95" s="317" t="str">
        <f>IF(H81="","",IF(H81="Aquacell Core","Cantidad de celdas Aquacell","Cantidad de unidades base"))</f>
        <v>Cantidad de unidades base</v>
      </c>
      <c r="G95" s="318"/>
      <c r="H95" s="231" t="str">
        <f>IFERROR(IF(AND(H81&lt;&gt;"",H83&lt;&gt;"",H85&lt;&gt;""),IF(H81="Aquacell Core",ROUNDUP(H93/0.195,0),IF(H81="Aquacell NG",IF(H92="",(H88*H89)/(1.2*0.6)*H86,(H88*H89)/(1.2*0.6)*H86+H92*(H88*H89)/(1.2*0.6)),"")),""),"")</f>
        <v/>
      </c>
      <c r="I95" s="319" t="str">
        <f>IF(H81="","",IF(H81="Aquacell Core","Cantidad de celdas Aquacell Core necesarias para las dimensiones dadas","Cantidad de unidades base de Aquacell NG necesarias para las dimensiones dadas"))</f>
        <v>Cantidad de unidades base de Aquacell NG necesarias para las dimensiones dadas</v>
      </c>
      <c r="J95" s="319"/>
      <c r="K95" s="319"/>
      <c r="L95" s="319"/>
      <c r="M95" s="319"/>
      <c r="N95" s="319"/>
      <c r="O95" s="320"/>
    </row>
    <row r="96" spans="1:15" ht="15" customHeight="1" x14ac:dyDescent="0.25">
      <c r="F96" s="317" t="str">
        <f>IF(OR(H81="",H81="Aquacell Core"),"","Cantidad de tapas laterales")</f>
        <v>Cantidad de tapas laterales</v>
      </c>
      <c r="G96" s="318"/>
      <c r="H96" s="231" t="str">
        <f>IF(AND(H81&lt;&gt;"",H83&lt;&gt;"",H85&lt;&gt;""),IF(H81="Aquacell Core","",(2*((H86*0.4)*H88)+2*((H86*0.4)*H89))/(0.4*1.2)),"")</f>
        <v/>
      </c>
      <c r="I96" s="319" t="str">
        <f>IF(OR(H81="",H81="Aquacell Core"),"","Cantidad de tapas laterales necesarias para las dimesiones dadas")</f>
        <v>Cantidad de tapas laterales necesarias para las dimesiones dadas</v>
      </c>
      <c r="J96" s="319"/>
      <c r="K96" s="319"/>
      <c r="L96" s="319"/>
      <c r="M96" s="319"/>
      <c r="N96" s="319"/>
      <c r="O96" s="320"/>
    </row>
    <row r="97" spans="6:18" ht="15" customHeight="1" x14ac:dyDescent="0.25">
      <c r="F97" s="317" t="str">
        <f>IF(OR(H81="",H81="Aquacell Core"),"","Cantidad de tapas de fondo")</f>
        <v>Cantidad de tapas de fondo</v>
      </c>
      <c r="G97" s="318"/>
      <c r="H97" s="231" t="str">
        <f>IF(AND(H81&lt;&gt;"",H83&lt;&gt;"",H85&lt;&gt;""),IF(H81="Aquacell Core","",IF(H92=0,(H88*H89)/(1.2*0.6),"")),"")</f>
        <v/>
      </c>
      <c r="I97" s="319" t="str">
        <f>IF(OR(H81="",H81="Aquacell Core"),"","Cantidad de tapas de fondo necesarias para las dimesiones dadas")</f>
        <v>Cantidad de tapas de fondo necesarias para las dimesiones dadas</v>
      </c>
      <c r="J97" s="319"/>
      <c r="K97" s="319"/>
      <c r="L97" s="319"/>
      <c r="M97" s="319"/>
      <c r="N97" s="319"/>
      <c r="O97" s="320"/>
    </row>
    <row r="98" spans="6:18" ht="15" customHeight="1" x14ac:dyDescent="0.25">
      <c r="F98" s="128"/>
      <c r="G98" s="128"/>
      <c r="H98" s="128"/>
      <c r="I98" s="133"/>
      <c r="J98" s="133"/>
      <c r="K98" s="133"/>
      <c r="L98" s="133"/>
      <c r="M98" s="133"/>
      <c r="N98" s="128"/>
      <c r="O98" s="128"/>
    </row>
    <row r="99" spans="6:18" ht="15" customHeight="1" x14ac:dyDescent="0.25">
      <c r="F99" s="344" t="s">
        <v>3063</v>
      </c>
      <c r="G99" s="345"/>
      <c r="H99" s="345"/>
      <c r="I99" s="323" t="s">
        <v>3088</v>
      </c>
      <c r="J99" s="323"/>
      <c r="K99" s="323"/>
      <c r="L99" s="323"/>
      <c r="M99" s="323"/>
      <c r="N99" s="323"/>
      <c r="O99" s="324"/>
      <c r="P99" s="304" t="s">
        <v>3089</v>
      </c>
      <c r="Q99" s="305"/>
      <c r="R99" s="305"/>
    </row>
    <row r="100" spans="6:18" ht="15" customHeight="1" x14ac:dyDescent="0.25">
      <c r="F100" s="348" t="str" cm="1">
        <f t="array" ref="F100">IFERROR(IF(OR(H83="",R100="",R101="",R102="",R103=""),"",IF(AND(OR(H83="Zona Peatonal",H83="Zona Verde"),OR(H84&lt;&gt;0,H84&lt;&gt;"")),"Quitar carga de tráfico",IF(OR(H92=0,H92=""),IF(OR(H83="Zona Peatonal",H83="Zona Verde"),RESISTAQ(H91,'DATOS DEL PROYECTO'!$J$22,H85,0,H81,R102,R103,R100,R101,H87,H92),RESISTAQ(H91,'DATOS DEL PROYECTO'!$J$22,H85,H84,H81,R102,R103,R100,R101,H87,H92)),IF(OR(H83="Zona Peatonal",H83="Zona Verde"),RESISTAQ(H85+(H86-H92)*0.4,'DATOS DEL PROYECTO'!$J$22,H85,0,H81,R102,R103,R100,R101,(H86-H92)*0.4,0),RESISTAQ(H85+(H86-H92)*0.4,'DATOS DEL PROYECTO'!$J$22,H85,H84,H81,R102,R103,R100,R101,(H86-H92)*0.4,0))))),"")</f>
        <v/>
      </c>
      <c r="G100" s="349"/>
      <c r="H100" s="349"/>
      <c r="I100" s="323"/>
      <c r="J100" s="323"/>
      <c r="K100" s="323"/>
      <c r="L100" s="323"/>
      <c r="M100" s="323"/>
      <c r="N100" s="323"/>
      <c r="O100" s="324"/>
      <c r="P100" s="306" t="s">
        <v>3069</v>
      </c>
      <c r="Q100" s="307"/>
      <c r="R100" s="275">
        <v>2170</v>
      </c>
    </row>
    <row r="101" spans="6:18" ht="15" customHeight="1" x14ac:dyDescent="0.25">
      <c r="F101" s="348"/>
      <c r="G101" s="349"/>
      <c r="H101" s="349"/>
      <c r="I101" s="323"/>
      <c r="J101" s="323"/>
      <c r="K101" s="323"/>
      <c r="L101" s="323"/>
      <c r="M101" s="323"/>
      <c r="N101" s="323"/>
      <c r="O101" s="324"/>
      <c r="P101" s="306" t="s">
        <v>3071</v>
      </c>
      <c r="Q101" s="307"/>
      <c r="R101" s="275">
        <v>30</v>
      </c>
    </row>
    <row r="102" spans="6:18" ht="15" customHeight="1" x14ac:dyDescent="0.25">
      <c r="F102" s="128"/>
      <c r="G102" s="128"/>
      <c r="H102" s="128"/>
      <c r="I102" s="133"/>
      <c r="J102" s="133"/>
      <c r="K102" s="133"/>
      <c r="L102" s="133"/>
      <c r="M102" s="133"/>
      <c r="N102" s="128"/>
      <c r="O102" s="128"/>
      <c r="P102" s="306" t="s">
        <v>3070</v>
      </c>
      <c r="Q102" s="307"/>
      <c r="R102" s="275">
        <v>1860</v>
      </c>
    </row>
    <row r="103" spans="6:18" ht="15" customHeight="1" x14ac:dyDescent="0.25">
      <c r="F103" s="344" t="s">
        <v>3072</v>
      </c>
      <c r="G103" s="345"/>
      <c r="H103" s="345"/>
      <c r="I103" s="323" t="s">
        <v>3090</v>
      </c>
      <c r="J103" s="323"/>
      <c r="K103" s="323"/>
      <c r="L103" s="323"/>
      <c r="M103" s="323"/>
      <c r="N103" s="323"/>
      <c r="O103" s="324"/>
      <c r="P103" s="308" t="s">
        <v>3071</v>
      </c>
      <c r="Q103" s="309"/>
      <c r="R103" s="276">
        <v>32</v>
      </c>
    </row>
    <row r="104" spans="6:18" ht="15" customHeight="1" x14ac:dyDescent="0.25">
      <c r="F104" s="348" t="str" cm="1">
        <f t="array" ref="F104">IFERROR(IF(OR(H83="",R100="",R101="",R102="",R103=""),"",IF(H91&gt;8,"Valor Máximo alcanzado",IF(AND(OR(H92=0,H92=""),F100="OK"),"OK",AQNGEXTRAR(H91,'DATOS DEL PROYECTO'!$J$22,H85,H84,H81,R102,R103,R100,R101,H87,H92)))),"")</f>
        <v/>
      </c>
      <c r="G104" s="349"/>
      <c r="H104" s="349"/>
      <c r="I104" s="323"/>
      <c r="J104" s="323"/>
      <c r="K104" s="323"/>
      <c r="L104" s="323"/>
      <c r="M104" s="323"/>
      <c r="N104" s="323"/>
      <c r="O104" s="324"/>
    </row>
    <row r="105" spans="6:18" ht="15" customHeight="1" x14ac:dyDescent="0.25">
      <c r="F105" s="348"/>
      <c r="G105" s="349"/>
      <c r="H105" s="349"/>
      <c r="I105" s="323"/>
      <c r="J105" s="323"/>
      <c r="K105" s="323"/>
      <c r="L105" s="323"/>
      <c r="M105" s="323"/>
      <c r="N105" s="323"/>
      <c r="O105" s="324"/>
    </row>
    <row r="106" spans="6:18" ht="15" customHeight="1" x14ac:dyDescent="0.25">
      <c r="F106" s="128"/>
      <c r="G106" s="128"/>
      <c r="H106" s="128"/>
      <c r="I106" s="133"/>
      <c r="J106" s="133"/>
      <c r="K106" s="133"/>
      <c r="L106" s="133"/>
      <c r="M106" s="133"/>
      <c r="N106" s="128"/>
      <c r="O106" s="232"/>
    </row>
    <row r="107" spans="6:18" ht="15" customHeight="1" x14ac:dyDescent="0.25">
      <c r="F107" s="344" t="s">
        <v>39</v>
      </c>
      <c r="G107" s="345"/>
      <c r="H107" s="345"/>
      <c r="I107" s="323" t="s">
        <v>3005</v>
      </c>
      <c r="J107" s="323"/>
      <c r="K107" s="323"/>
      <c r="L107" s="323"/>
      <c r="M107" s="323"/>
      <c r="N107" s="323"/>
      <c r="O107" s="324"/>
    </row>
    <row r="108" spans="6:18" ht="15" customHeight="1" x14ac:dyDescent="0.25">
      <c r="F108" s="346" t="str">
        <f>IF(H94="Verificar","",IF(OR(H94="",M54=""),"",IF(H94&gt;M54,"OK","Ajustar Dimensiones")))</f>
        <v/>
      </c>
      <c r="G108" s="347"/>
      <c r="H108" s="347"/>
      <c r="I108" s="323"/>
      <c r="J108" s="323"/>
      <c r="K108" s="323"/>
      <c r="L108" s="323"/>
      <c r="M108" s="323"/>
      <c r="N108" s="323"/>
      <c r="O108" s="324"/>
    </row>
    <row r="109" spans="6:18" ht="15" customHeight="1" x14ac:dyDescent="0.25">
      <c r="F109" s="346"/>
      <c r="G109" s="347"/>
      <c r="H109" s="347"/>
      <c r="I109" s="323"/>
      <c r="J109" s="323"/>
      <c r="K109" s="323"/>
      <c r="L109" s="323"/>
      <c r="M109" s="323"/>
      <c r="N109" s="323"/>
      <c r="O109" s="324"/>
    </row>
    <row r="110" spans="6:18" ht="15" customHeight="1" x14ac:dyDescent="0.25">
      <c r="F110" s="99"/>
      <c r="G110" s="99"/>
      <c r="H110" s="99"/>
      <c r="I110" s="99"/>
      <c r="J110" s="99"/>
      <c r="K110" s="99"/>
      <c r="L110" s="99"/>
      <c r="M110" s="99"/>
      <c r="N110" s="99"/>
      <c r="O110" s="99"/>
    </row>
    <row r="111" spans="6:18" ht="15" customHeight="1" x14ac:dyDescent="0.25">
      <c r="F111" s="99"/>
      <c r="G111" s="99"/>
      <c r="H111" s="99"/>
      <c r="I111" s="99"/>
      <c r="J111" s="99"/>
      <c r="K111" s="99"/>
      <c r="L111" s="99"/>
      <c r="M111" s="99"/>
      <c r="N111" s="99"/>
      <c r="O111" s="99"/>
    </row>
    <row r="112" spans="6:18" ht="15" customHeight="1" x14ac:dyDescent="0.25">
      <c r="F112" s="99"/>
      <c r="G112" s="99"/>
      <c r="H112" s="99"/>
      <c r="I112" s="99"/>
      <c r="J112" s="99"/>
      <c r="K112" s="99"/>
      <c r="L112" s="99"/>
      <c r="M112" s="99"/>
      <c r="N112" s="99"/>
      <c r="O112" s="99"/>
    </row>
    <row r="113" spans="6:15" ht="15" customHeight="1" x14ac:dyDescent="0.25">
      <c r="F113" s="314" t="s">
        <v>40</v>
      </c>
      <c r="G113" s="314"/>
      <c r="H113" s="314"/>
      <c r="I113" s="314"/>
      <c r="J113" s="314"/>
      <c r="K113" s="314"/>
      <c r="L113" s="314"/>
      <c r="M113" s="314"/>
      <c r="N113" s="128"/>
      <c r="O113" s="128"/>
    </row>
    <row r="114" spans="6:15" ht="15" customHeight="1" x14ac:dyDescent="0.25">
      <c r="F114" s="316"/>
      <c r="G114" s="316"/>
      <c r="H114" s="316"/>
      <c r="I114" s="316"/>
      <c r="J114" s="316"/>
      <c r="K114" s="316"/>
      <c r="L114" s="314"/>
      <c r="M114" s="314"/>
      <c r="N114" s="128"/>
      <c r="O114" s="128"/>
    </row>
    <row r="115" spans="6:15" ht="15" customHeight="1" x14ac:dyDescent="0.25">
      <c r="F115" s="313" t="s">
        <v>41</v>
      </c>
      <c r="G115" s="313" t="s">
        <v>42</v>
      </c>
      <c r="H115" s="313" t="s">
        <v>43</v>
      </c>
      <c r="I115" s="313" t="s">
        <v>44</v>
      </c>
      <c r="J115" s="313" t="s">
        <v>45</v>
      </c>
      <c r="K115" s="313" t="s">
        <v>46</v>
      </c>
      <c r="L115" s="313" t="s">
        <v>2771</v>
      </c>
      <c r="M115" s="313" t="s">
        <v>2770</v>
      </c>
      <c r="N115" s="187"/>
      <c r="O115" s="187"/>
    </row>
    <row r="116" spans="6:15" ht="15" customHeight="1" x14ac:dyDescent="0.25">
      <c r="F116" s="313"/>
      <c r="G116" s="313"/>
      <c r="H116" s="313"/>
      <c r="I116" s="313"/>
      <c r="J116" s="313"/>
      <c r="K116" s="313"/>
      <c r="L116" s="313"/>
      <c r="M116" s="313"/>
      <c r="N116" s="187"/>
      <c r="O116" s="187"/>
    </row>
    <row r="117" spans="6:15" ht="15" customHeight="1" x14ac:dyDescent="0.25">
      <c r="F117" s="313"/>
      <c r="G117" s="313"/>
      <c r="H117" s="313"/>
      <c r="I117" s="313"/>
      <c r="J117" s="313"/>
      <c r="K117" s="313"/>
      <c r="L117" s="313"/>
      <c r="M117" s="313"/>
      <c r="N117" s="187"/>
      <c r="O117" s="187"/>
    </row>
    <row r="118" spans="6:15" ht="15" customHeight="1" x14ac:dyDescent="0.25">
      <c r="F118" s="176"/>
      <c r="G118" s="177"/>
      <c r="H118" s="177"/>
      <c r="I118" s="177"/>
      <c r="J118" s="233" t="str">
        <f>IFERROR(IF('DATOS DEL PROYECTO'!$I$38="No",CALCULOS!L7,""),"")</f>
        <v/>
      </c>
      <c r="K118" s="233" t="str">
        <f>IFERROR(IF('DATOS DEL PROYECTO'!$I$38="No",CALCULOS!K7,""),"")</f>
        <v/>
      </c>
      <c r="L118" s="234" t="str">
        <f t="shared" ref="L118:L123" si="5">IFERROR(ROUNDUP(F118/J118,0),"")</f>
        <v/>
      </c>
      <c r="M118" s="234" t="str">
        <f t="shared" ref="M118:M123" si="6">IFERROR(ROUNDUP((I118*L118)/6,0),"")</f>
        <v/>
      </c>
      <c r="N118" s="187"/>
      <c r="O118" s="187"/>
    </row>
    <row r="119" spans="6:15" ht="15" customHeight="1" x14ac:dyDescent="0.25">
      <c r="F119" s="176"/>
      <c r="G119" s="177"/>
      <c r="H119" s="177"/>
      <c r="I119" s="177"/>
      <c r="J119" s="233" t="str">
        <f>IFERROR(IF('DATOS DEL PROYECTO'!$I$38="No",CALCULOS!L8,""),"")</f>
        <v/>
      </c>
      <c r="K119" s="233" t="str">
        <f>IFERROR(IF('DATOS DEL PROYECTO'!$I$38="No",CALCULOS!K8,""),"")</f>
        <v/>
      </c>
      <c r="L119" s="234" t="str">
        <f t="shared" si="5"/>
        <v/>
      </c>
      <c r="M119" s="234" t="str">
        <f t="shared" si="6"/>
        <v/>
      </c>
      <c r="N119" s="187"/>
      <c r="O119" s="187"/>
    </row>
    <row r="120" spans="6:15" ht="15" customHeight="1" x14ac:dyDescent="0.25">
      <c r="F120" s="176"/>
      <c r="G120" s="177"/>
      <c r="H120" s="177"/>
      <c r="I120" s="177"/>
      <c r="J120" s="233" t="str">
        <f>IFERROR(IF('DATOS DEL PROYECTO'!$I$38="No",CALCULOS!L9,""),"")</f>
        <v/>
      </c>
      <c r="K120" s="233" t="str">
        <f>IFERROR(IF('DATOS DEL PROYECTO'!$I$38="No",CALCULOS!K9,""),"")</f>
        <v/>
      </c>
      <c r="L120" s="234" t="str">
        <f t="shared" si="5"/>
        <v/>
      </c>
      <c r="M120" s="234" t="str">
        <f t="shared" si="6"/>
        <v/>
      </c>
      <c r="N120" s="187"/>
      <c r="O120" s="187"/>
    </row>
    <row r="121" spans="6:15" ht="15" customHeight="1" x14ac:dyDescent="0.25">
      <c r="F121" s="176"/>
      <c r="G121" s="177"/>
      <c r="H121" s="177"/>
      <c r="I121" s="177"/>
      <c r="J121" s="233" t="str">
        <f>IFERROR(IF('DATOS DEL PROYECTO'!$I$38="No",CALCULOS!L10,""),"")</f>
        <v/>
      </c>
      <c r="K121" s="233" t="str">
        <f>IFERROR(IF('DATOS DEL PROYECTO'!$I$38="No",CALCULOS!K10,""),"")</f>
        <v/>
      </c>
      <c r="L121" s="234" t="str">
        <f t="shared" si="5"/>
        <v/>
      </c>
      <c r="M121" s="234" t="str">
        <f t="shared" si="6"/>
        <v/>
      </c>
      <c r="N121" s="187"/>
      <c r="O121" s="187"/>
    </row>
    <row r="122" spans="6:15" ht="15" customHeight="1" x14ac:dyDescent="0.25">
      <c r="F122" s="176"/>
      <c r="G122" s="177"/>
      <c r="H122" s="177"/>
      <c r="I122" s="177"/>
      <c r="J122" s="233" t="str">
        <f>IFERROR(IF('DATOS DEL PROYECTO'!$I$38="No",CALCULOS!L11,""),"")</f>
        <v/>
      </c>
      <c r="K122" s="233" t="str">
        <f>IFERROR(IF('DATOS DEL PROYECTO'!$I$38="No",CALCULOS!K11,""),"")</f>
        <v/>
      </c>
      <c r="L122" s="234" t="str">
        <f t="shared" si="5"/>
        <v/>
      </c>
      <c r="M122" s="234" t="str">
        <f t="shared" si="6"/>
        <v/>
      </c>
      <c r="N122" s="187"/>
      <c r="O122" s="187"/>
    </row>
    <row r="123" spans="6:15" ht="15" customHeight="1" x14ac:dyDescent="0.25">
      <c r="F123" s="176"/>
      <c r="G123" s="177"/>
      <c r="H123" s="177"/>
      <c r="I123" s="177"/>
      <c r="J123" s="233" t="str">
        <f>IFERROR(IF('DATOS DEL PROYECTO'!$I$38="No",CALCULOS!L12,""),"")</f>
        <v/>
      </c>
      <c r="K123" s="233" t="str">
        <f>IFERROR(IF('DATOS DEL PROYECTO'!$I$38="No",CALCULOS!K12,""),"")</f>
        <v/>
      </c>
      <c r="L123" s="234" t="str">
        <f t="shared" si="5"/>
        <v/>
      </c>
      <c r="M123" s="234" t="str">
        <f t="shared" si="6"/>
        <v/>
      </c>
      <c r="N123" s="187"/>
      <c r="O123" s="187"/>
    </row>
    <row r="124" spans="6:15" ht="15" customHeight="1" x14ac:dyDescent="0.25">
      <c r="F124" s="133"/>
      <c r="G124" s="133"/>
      <c r="H124" s="133"/>
      <c r="I124" s="133"/>
      <c r="J124" s="133"/>
      <c r="K124" s="133"/>
      <c r="L124" s="187"/>
      <c r="M124" s="187"/>
      <c r="N124" s="187"/>
      <c r="O124" s="187"/>
    </row>
    <row r="125" spans="6:15" ht="15" customHeight="1" x14ac:dyDescent="0.25">
      <c r="F125" s="314" t="s">
        <v>49</v>
      </c>
      <c r="G125" s="314"/>
      <c r="H125" s="314"/>
      <c r="I125" s="314"/>
      <c r="J125" s="314"/>
      <c r="K125" s="314"/>
      <c r="L125" s="314"/>
      <c r="M125" s="314"/>
      <c r="N125" s="128"/>
      <c r="O125" s="128"/>
    </row>
    <row r="126" spans="6:15" ht="15" customHeight="1" x14ac:dyDescent="0.25">
      <c r="F126" s="316"/>
      <c r="G126" s="316"/>
      <c r="H126" s="316"/>
      <c r="I126" s="316"/>
      <c r="J126" s="316"/>
      <c r="K126" s="316"/>
      <c r="L126" s="314"/>
      <c r="M126" s="314"/>
      <c r="N126" s="128"/>
      <c r="O126" s="128"/>
    </row>
    <row r="127" spans="6:15" ht="15" customHeight="1" x14ac:dyDescent="0.25">
      <c r="F127" s="313" t="s">
        <v>50</v>
      </c>
      <c r="G127" s="313" t="s">
        <v>42</v>
      </c>
      <c r="H127" s="313" t="s">
        <v>43</v>
      </c>
      <c r="I127" s="313" t="s">
        <v>44</v>
      </c>
      <c r="J127" s="313" t="s">
        <v>45</v>
      </c>
      <c r="K127" s="313" t="s">
        <v>46</v>
      </c>
      <c r="L127" s="315" t="s">
        <v>3001</v>
      </c>
      <c r="M127" s="311"/>
      <c r="N127" s="311"/>
      <c r="O127" s="311"/>
    </row>
    <row r="128" spans="6:15" ht="15" customHeight="1" x14ac:dyDescent="0.25">
      <c r="F128" s="313"/>
      <c r="G128" s="313"/>
      <c r="H128" s="313"/>
      <c r="I128" s="313"/>
      <c r="J128" s="313"/>
      <c r="K128" s="313"/>
      <c r="L128" s="315"/>
      <c r="M128" s="311"/>
      <c r="N128" s="311"/>
      <c r="O128" s="311"/>
    </row>
    <row r="129" spans="6:15" ht="15" customHeight="1" x14ac:dyDescent="0.25">
      <c r="F129" s="313"/>
      <c r="G129" s="313"/>
      <c r="H129" s="313"/>
      <c r="I129" s="313"/>
      <c r="J129" s="313"/>
      <c r="K129" s="313"/>
      <c r="L129" s="315"/>
      <c r="M129" s="311"/>
      <c r="N129" s="311"/>
      <c r="O129" s="311"/>
    </row>
    <row r="130" spans="6:15" ht="15" customHeight="1" x14ac:dyDescent="0.25">
      <c r="F130" s="176">
        <f>SUM(F118:F123)</f>
        <v>0</v>
      </c>
      <c r="G130" s="177"/>
      <c r="H130" s="177"/>
      <c r="I130" s="177"/>
      <c r="J130" s="233" t="str">
        <f>IFERROR(IF('DATOS DEL PROYECTO'!$I$38="No",CALCULOS!L13,""),"")</f>
        <v/>
      </c>
      <c r="K130" s="233" t="str">
        <f>IFERROR(IF('DATOS DEL PROYECTO'!$I$38="No",CALCULOS!K13,""),"")</f>
        <v/>
      </c>
      <c r="L130" s="315"/>
      <c r="M130" s="311"/>
      <c r="N130" s="311"/>
      <c r="O130" s="311"/>
    </row>
    <row r="131" spans="6:15" ht="15" customHeight="1" x14ac:dyDescent="0.25">
      <c r="F131" s="133"/>
      <c r="G131" s="133"/>
      <c r="H131" s="133"/>
      <c r="I131" s="133"/>
      <c r="J131" s="133"/>
      <c r="K131" s="133"/>
      <c r="L131" s="311" t="s">
        <v>3002</v>
      </c>
      <c r="M131" s="311"/>
      <c r="N131" s="311"/>
      <c r="O131" s="311"/>
    </row>
    <row r="132" spans="6:15" ht="15" customHeight="1" x14ac:dyDescent="0.25">
      <c r="F132" s="312" t="s">
        <v>47</v>
      </c>
      <c r="G132" s="312"/>
      <c r="H132" s="312"/>
      <c r="I132" s="312"/>
      <c r="J132" s="235" t="str">
        <f>IFERROR(ROUNDUP(F130/J130,0),"")</f>
        <v/>
      </c>
      <c r="K132" s="133"/>
      <c r="L132" s="311"/>
      <c r="M132" s="311"/>
      <c r="N132" s="311"/>
      <c r="O132" s="311"/>
    </row>
    <row r="133" spans="6:15" ht="15" customHeight="1" x14ac:dyDescent="0.25">
      <c r="F133" s="312" t="s">
        <v>48</v>
      </c>
      <c r="G133" s="312"/>
      <c r="H133" s="312"/>
      <c r="I133" s="312"/>
      <c r="J133" s="235" t="str">
        <f>IFERROR(ROUNDUP((I130*J132)/6,0),"")</f>
        <v/>
      </c>
      <c r="K133" s="133"/>
      <c r="L133" s="311"/>
      <c r="M133" s="311"/>
      <c r="N133" s="311"/>
      <c r="O133" s="311"/>
    </row>
    <row r="134" spans="6:15" ht="15" customHeight="1" x14ac:dyDescent="0.25">
      <c r="F134" s="133"/>
      <c r="G134" s="133"/>
      <c r="H134" s="133"/>
      <c r="I134" s="133"/>
      <c r="J134" s="133"/>
      <c r="K134" s="133"/>
      <c r="L134" s="311"/>
      <c r="M134" s="311"/>
      <c r="N134" s="311"/>
      <c r="O134" s="311"/>
    </row>
    <row r="135" spans="6:15" ht="15" customHeight="1" x14ac:dyDescent="0.25">
      <c r="F135" s="314" t="s">
        <v>51</v>
      </c>
      <c r="G135" s="314"/>
      <c r="H135" s="314"/>
      <c r="I135" s="314"/>
      <c r="J135" s="314"/>
      <c r="K135" s="314"/>
      <c r="L135" s="314"/>
      <c r="M135" s="314"/>
      <c r="N135" s="128"/>
      <c r="O135" s="128"/>
    </row>
    <row r="136" spans="6:15" ht="15" customHeight="1" x14ac:dyDescent="0.25">
      <c r="F136" s="314"/>
      <c r="G136" s="314"/>
      <c r="H136" s="314"/>
      <c r="I136" s="314"/>
      <c r="J136" s="314"/>
      <c r="K136" s="314"/>
      <c r="L136" s="314"/>
      <c r="M136" s="314"/>
      <c r="N136" s="128"/>
      <c r="O136" s="128"/>
    </row>
    <row r="137" spans="6:15" ht="15" customHeight="1" x14ac:dyDescent="0.25">
      <c r="F137" s="313" t="s">
        <v>52</v>
      </c>
      <c r="G137" s="313" t="s">
        <v>42</v>
      </c>
      <c r="H137" s="313" t="s">
        <v>43</v>
      </c>
      <c r="I137" s="313" t="s">
        <v>44</v>
      </c>
      <c r="J137" s="313" t="s">
        <v>2766</v>
      </c>
      <c r="K137" s="133"/>
      <c r="L137" s="311" t="s">
        <v>3003</v>
      </c>
      <c r="M137" s="311"/>
      <c r="N137" s="311"/>
      <c r="O137" s="311"/>
    </row>
    <row r="138" spans="6:15" ht="15" customHeight="1" x14ac:dyDescent="0.25">
      <c r="F138" s="313"/>
      <c r="G138" s="313"/>
      <c r="H138" s="313"/>
      <c r="I138" s="313"/>
      <c r="J138" s="313"/>
      <c r="K138" s="133"/>
      <c r="L138" s="311"/>
      <c r="M138" s="311"/>
      <c r="N138" s="311"/>
      <c r="O138" s="311"/>
    </row>
    <row r="139" spans="6:15" ht="15" customHeight="1" x14ac:dyDescent="0.25">
      <c r="F139" s="313"/>
      <c r="G139" s="313"/>
      <c r="H139" s="313"/>
      <c r="I139" s="313"/>
      <c r="J139" s="313"/>
      <c r="K139" s="133"/>
      <c r="L139" s="311"/>
      <c r="M139" s="311"/>
      <c r="N139" s="311"/>
      <c r="O139" s="311"/>
    </row>
    <row r="140" spans="6:15" ht="15" customHeight="1" x14ac:dyDescent="0.25">
      <c r="F140" s="233" t="str">
        <f>'TIEMPO DE VACIADO'!J28</f>
        <v/>
      </c>
      <c r="G140" s="177"/>
      <c r="H140" s="177"/>
      <c r="I140" s="177"/>
      <c r="J140" s="177"/>
      <c r="K140" s="133"/>
      <c r="L140" s="311"/>
      <c r="M140" s="311"/>
      <c r="N140" s="311"/>
      <c r="O140" s="311"/>
    </row>
    <row r="141" spans="6:15" ht="15" customHeight="1" x14ac:dyDescent="0.25">
      <c r="F141" s="133"/>
      <c r="G141" s="133"/>
      <c r="H141" s="133"/>
      <c r="I141" s="133"/>
      <c r="J141" s="133"/>
      <c r="K141" s="133"/>
      <c r="L141" s="311" t="s">
        <v>3031</v>
      </c>
      <c r="M141" s="311"/>
      <c r="N141" s="311"/>
      <c r="O141" s="311"/>
    </row>
    <row r="142" spans="6:15" ht="15" customHeight="1" x14ac:dyDescent="0.25">
      <c r="F142" s="312" t="s">
        <v>48</v>
      </c>
      <c r="G142" s="312"/>
      <c r="H142" s="312"/>
      <c r="I142" s="312"/>
      <c r="J142" s="235">
        <f>IFERROR(ROUNDUP((I140*J140)/6,0),"")</f>
        <v>0</v>
      </c>
      <c r="K142" s="133"/>
      <c r="L142" s="311"/>
      <c r="M142" s="311"/>
      <c r="N142" s="311"/>
      <c r="O142" s="311"/>
    </row>
    <row r="143" spans="6:15" ht="15" customHeight="1" x14ac:dyDescent="0.25">
      <c r="F143" s="133"/>
      <c r="G143" s="133"/>
      <c r="H143" s="133"/>
      <c r="I143" s="133"/>
      <c r="J143" s="133"/>
      <c r="K143" s="133"/>
      <c r="L143" s="311"/>
      <c r="M143" s="311"/>
      <c r="N143" s="311"/>
      <c r="O143" s="311"/>
    </row>
    <row r="144" spans="6:15" ht="15" customHeight="1" x14ac:dyDescent="0.25">
      <c r="F144" s="133"/>
      <c r="G144" s="133"/>
      <c r="H144" s="133"/>
      <c r="I144" s="133"/>
      <c r="J144" s="133"/>
      <c r="K144" s="133"/>
      <c r="L144" s="311"/>
      <c r="M144" s="311"/>
      <c r="N144" s="311"/>
      <c r="O144" s="311"/>
    </row>
    <row r="145" spans="1:18" s="128" customFormat="1" ht="15" customHeight="1" x14ac:dyDescent="0.25">
      <c r="A145" s="120"/>
      <c r="B145" s="120"/>
      <c r="C145" s="120"/>
      <c r="D145" s="120"/>
      <c r="E145" s="120"/>
      <c r="F145" s="150"/>
      <c r="G145" s="150"/>
      <c r="H145" s="150"/>
      <c r="I145" s="150"/>
      <c r="J145" s="150"/>
      <c r="K145" s="150"/>
      <c r="L145" s="150"/>
      <c r="M145" s="150"/>
      <c r="N145" s="99"/>
      <c r="O145" s="99"/>
      <c r="P145" s="120"/>
      <c r="Q145" s="120"/>
      <c r="R145" s="120"/>
    </row>
    <row r="146" spans="1:18" s="128" customFormat="1" ht="15" customHeight="1" x14ac:dyDescent="0.25">
      <c r="A146" s="120"/>
      <c r="B146" s="120"/>
      <c r="C146" s="120"/>
      <c r="D146" s="120"/>
      <c r="E146" s="120"/>
      <c r="F146" s="150"/>
      <c r="G146" s="150"/>
      <c r="H146" s="150"/>
      <c r="I146" s="150"/>
      <c r="J146" s="150"/>
      <c r="K146" s="150"/>
      <c r="L146" s="150"/>
      <c r="M146" s="150"/>
      <c r="N146" s="99"/>
      <c r="O146" s="99"/>
      <c r="P146" s="120"/>
      <c r="Q146" s="120"/>
      <c r="R146" s="120"/>
    </row>
    <row r="147" spans="1:18" s="128" customFormat="1" ht="15" customHeight="1" x14ac:dyDescent="0.25">
      <c r="A147" s="120"/>
      <c r="B147" s="120"/>
      <c r="C147" s="120"/>
      <c r="D147" s="120"/>
      <c r="E147" s="120"/>
      <c r="F147" s="150"/>
      <c r="G147" s="150"/>
      <c r="H147" s="150"/>
      <c r="I147" s="150"/>
      <c r="J147" s="150"/>
      <c r="K147" s="150"/>
      <c r="L147" s="150"/>
      <c r="M147" s="150"/>
      <c r="N147" s="99"/>
      <c r="O147" s="99"/>
      <c r="P147" s="120"/>
      <c r="Q147" s="120"/>
      <c r="R147" s="120"/>
    </row>
    <row r="148" spans="1:18" s="128" customFormat="1" ht="15" customHeight="1" x14ac:dyDescent="0.25">
      <c r="A148" s="120"/>
      <c r="B148" s="120"/>
      <c r="C148" s="120"/>
      <c r="D148" s="120"/>
      <c r="E148" s="120"/>
      <c r="P148" s="120"/>
      <c r="Q148" s="120"/>
      <c r="R148" s="120"/>
    </row>
    <row r="149" spans="1:18" s="128" customFormat="1" ht="15" customHeight="1" x14ac:dyDescent="0.25">
      <c r="A149" s="120"/>
      <c r="B149" s="120"/>
      <c r="C149" s="120"/>
      <c r="D149" s="120"/>
      <c r="E149" s="120"/>
      <c r="F149" s="314" t="s">
        <v>53</v>
      </c>
      <c r="G149" s="314"/>
      <c r="H149" s="314"/>
      <c r="I149" s="314"/>
      <c r="J149" s="314"/>
      <c r="K149" s="314"/>
      <c r="L149" s="314"/>
      <c r="M149" s="337" t="s">
        <v>54</v>
      </c>
      <c r="N149" s="337"/>
      <c r="P149" s="120"/>
      <c r="Q149" s="120"/>
      <c r="R149" s="120"/>
    </row>
    <row r="150" spans="1:18" s="128" customFormat="1" ht="15" customHeight="1" x14ac:dyDescent="0.25">
      <c r="A150" s="120"/>
      <c r="B150" s="120"/>
      <c r="C150" s="120"/>
      <c r="D150" s="120"/>
      <c r="E150" s="120"/>
      <c r="F150" s="314"/>
      <c r="G150" s="314"/>
      <c r="H150" s="314"/>
      <c r="I150" s="314"/>
      <c r="J150" s="314"/>
      <c r="K150" s="314"/>
      <c r="L150" s="314"/>
      <c r="M150" s="337"/>
      <c r="N150" s="337"/>
      <c r="P150" s="120"/>
      <c r="Q150" s="120"/>
      <c r="R150" s="120"/>
    </row>
    <row r="151" spans="1:18" s="128" customFormat="1" ht="15" customHeight="1" x14ac:dyDescent="0.25">
      <c r="A151" s="120"/>
      <c r="B151" s="120"/>
      <c r="C151" s="120"/>
      <c r="D151" s="120"/>
      <c r="E151" s="120"/>
      <c r="F151" s="335" t="s">
        <v>55</v>
      </c>
      <c r="G151" s="335"/>
      <c r="H151" s="206"/>
      <c r="I151" s="336" t="s">
        <v>3008</v>
      </c>
      <c r="J151" s="336"/>
      <c r="K151" s="336"/>
      <c r="L151" s="336"/>
      <c r="M151" s="336"/>
      <c r="N151" s="336"/>
      <c r="O151" s="336"/>
      <c r="P151" s="120"/>
      <c r="Q151" s="120"/>
      <c r="R151" s="120"/>
    </row>
    <row r="152" spans="1:18" s="128" customFormat="1" ht="15" customHeight="1" x14ac:dyDescent="0.25">
      <c r="A152" s="120"/>
      <c r="B152" s="120"/>
      <c r="C152" s="120"/>
      <c r="D152" s="120"/>
      <c r="E152" s="120"/>
      <c r="F152" s="335" t="s">
        <v>56</v>
      </c>
      <c r="G152" s="335"/>
      <c r="H152" s="206"/>
      <c r="I152" s="336" t="s">
        <v>57</v>
      </c>
      <c r="J152" s="336"/>
      <c r="K152" s="336"/>
      <c r="L152" s="336"/>
      <c r="M152" s="336"/>
      <c r="N152" s="336"/>
      <c r="O152" s="336"/>
      <c r="P152" s="120"/>
      <c r="Q152" s="120"/>
      <c r="R152" s="120"/>
    </row>
    <row r="153" spans="1:18" s="128" customFormat="1" ht="15" customHeight="1" x14ac:dyDescent="0.25">
      <c r="A153" s="120"/>
      <c r="B153" s="120"/>
      <c r="C153" s="120"/>
      <c r="D153" s="120"/>
      <c r="E153" s="120"/>
      <c r="F153" s="335" t="s">
        <v>58</v>
      </c>
      <c r="G153" s="335"/>
      <c r="H153" s="206"/>
      <c r="I153" s="336" t="s">
        <v>59</v>
      </c>
      <c r="J153" s="336"/>
      <c r="K153" s="336"/>
      <c r="L153" s="336"/>
      <c r="M153" s="336"/>
      <c r="N153" s="336"/>
      <c r="O153" s="336"/>
      <c r="P153" s="120"/>
      <c r="Q153" s="120"/>
      <c r="R153" s="120"/>
    </row>
    <row r="154" spans="1:18" s="128" customFormat="1" ht="15" customHeight="1" x14ac:dyDescent="0.25">
      <c r="A154" s="120"/>
      <c r="B154" s="120"/>
      <c r="C154" s="120"/>
      <c r="D154" s="120"/>
      <c r="E154" s="120"/>
      <c r="F154" s="335" t="s">
        <v>60</v>
      </c>
      <c r="G154" s="335"/>
      <c r="H154" s="206"/>
      <c r="I154" s="336" t="s">
        <v>3007</v>
      </c>
      <c r="J154" s="336"/>
      <c r="K154" s="336"/>
      <c r="L154" s="336"/>
      <c r="M154" s="336"/>
      <c r="N154" s="336"/>
      <c r="O154" s="336"/>
      <c r="P154" s="120"/>
      <c r="Q154" s="120"/>
      <c r="R154" s="120"/>
    </row>
    <row r="155" spans="1:18" s="128" customFormat="1" ht="15" customHeight="1" x14ac:dyDescent="0.25">
      <c r="A155" s="120"/>
      <c r="B155" s="120"/>
      <c r="C155" s="120"/>
      <c r="D155" s="120"/>
      <c r="E155" s="120"/>
      <c r="F155" s="133"/>
      <c r="I155" s="133"/>
      <c r="J155" s="133"/>
      <c r="K155" s="133"/>
      <c r="L155" s="133"/>
      <c r="M155" s="133"/>
      <c r="P155" s="120"/>
      <c r="Q155" s="120"/>
      <c r="R155" s="120"/>
    </row>
    <row r="156" spans="1:18" s="128" customFormat="1" ht="15" customHeight="1" x14ac:dyDescent="0.25">
      <c r="A156" s="120"/>
      <c r="B156" s="120"/>
      <c r="C156" s="120"/>
      <c r="D156" s="120"/>
      <c r="E156" s="120"/>
      <c r="F156" s="314" t="s">
        <v>61</v>
      </c>
      <c r="G156" s="314"/>
      <c r="H156" s="314"/>
      <c r="I156" s="314"/>
      <c r="J156" s="314"/>
      <c r="K156" s="314"/>
      <c r="L156" s="314"/>
      <c r="M156" s="337" t="s">
        <v>54</v>
      </c>
      <c r="N156" s="337"/>
      <c r="P156" s="120"/>
      <c r="Q156" s="120"/>
      <c r="R156" s="120"/>
    </row>
    <row r="157" spans="1:18" s="128" customFormat="1" ht="15" customHeight="1" x14ac:dyDescent="0.25">
      <c r="A157" s="120"/>
      <c r="B157" s="120"/>
      <c r="C157" s="120"/>
      <c r="D157" s="120"/>
      <c r="E157" s="120"/>
      <c r="F157" s="314"/>
      <c r="G157" s="314"/>
      <c r="H157" s="314"/>
      <c r="I157" s="314"/>
      <c r="J157" s="314"/>
      <c r="K157" s="314"/>
      <c r="L157" s="314"/>
      <c r="M157" s="337"/>
      <c r="N157" s="337"/>
      <c r="P157" s="120"/>
      <c r="Q157" s="120"/>
      <c r="R157" s="120"/>
    </row>
    <row r="158" spans="1:18" s="128" customFormat="1" ht="15" customHeight="1" x14ac:dyDescent="0.25">
      <c r="A158" s="120"/>
      <c r="B158" s="120"/>
      <c r="C158" s="120"/>
      <c r="D158" s="120"/>
      <c r="E158" s="120"/>
      <c r="F158" s="335" t="s">
        <v>55</v>
      </c>
      <c r="G158" s="335"/>
      <c r="H158" s="206"/>
      <c r="I158" s="336" t="s">
        <v>3006</v>
      </c>
      <c r="J158" s="336"/>
      <c r="K158" s="336"/>
      <c r="L158" s="336"/>
      <c r="M158" s="336"/>
      <c r="N158" s="336"/>
      <c r="O158" s="336"/>
      <c r="P158" s="120"/>
      <c r="Q158" s="120"/>
      <c r="R158" s="120"/>
    </row>
    <row r="159" spans="1:18" s="128" customFormat="1" ht="15" customHeight="1" x14ac:dyDescent="0.25">
      <c r="A159" s="120"/>
      <c r="B159" s="120"/>
      <c r="C159" s="120"/>
      <c r="D159" s="120"/>
      <c r="E159" s="120"/>
      <c r="F159" s="335" t="s">
        <v>56</v>
      </c>
      <c r="G159" s="335"/>
      <c r="H159" s="206"/>
      <c r="I159" s="336" t="s">
        <v>57</v>
      </c>
      <c r="J159" s="336"/>
      <c r="K159" s="336"/>
      <c r="L159" s="336"/>
      <c r="M159" s="336"/>
      <c r="N159" s="336"/>
      <c r="O159" s="336"/>
      <c r="P159" s="120"/>
      <c r="Q159" s="120"/>
      <c r="R159" s="120"/>
    </row>
    <row r="160" spans="1:18" s="128" customFormat="1" ht="15" customHeight="1" x14ac:dyDescent="0.25">
      <c r="A160" s="120"/>
      <c r="B160" s="120"/>
      <c r="C160" s="120"/>
      <c r="D160" s="120"/>
      <c r="E160" s="120"/>
      <c r="F160" s="335" t="s">
        <v>58</v>
      </c>
      <c r="G160" s="335"/>
      <c r="H160" s="206"/>
      <c r="I160" s="336" t="s">
        <v>59</v>
      </c>
      <c r="J160" s="336"/>
      <c r="K160" s="336"/>
      <c r="L160" s="336"/>
      <c r="M160" s="336"/>
      <c r="N160" s="336"/>
      <c r="O160" s="336"/>
      <c r="P160" s="120"/>
      <c r="Q160" s="120"/>
      <c r="R160" s="120"/>
    </row>
    <row r="161" spans="1:18" s="128" customFormat="1" ht="15" customHeight="1" x14ac:dyDescent="0.25">
      <c r="A161" s="120"/>
      <c r="B161" s="120"/>
      <c r="C161" s="120"/>
      <c r="D161" s="120"/>
      <c r="E161" s="120"/>
      <c r="F161" s="335" t="s">
        <v>60</v>
      </c>
      <c r="G161" s="335"/>
      <c r="H161" s="206"/>
      <c r="I161" s="336" t="s">
        <v>3007</v>
      </c>
      <c r="J161" s="336"/>
      <c r="K161" s="336"/>
      <c r="L161" s="336"/>
      <c r="M161" s="336"/>
      <c r="N161" s="336"/>
      <c r="O161" s="336"/>
      <c r="P161" s="120"/>
      <c r="Q161" s="120"/>
      <c r="R161" s="120"/>
    </row>
    <row r="162" spans="1:18" s="128" customFormat="1" ht="15" customHeight="1" x14ac:dyDescent="0.25">
      <c r="A162" s="120"/>
      <c r="B162" s="120"/>
      <c r="C162" s="120"/>
      <c r="D162" s="120"/>
      <c r="E162" s="120"/>
      <c r="F162" s="133"/>
      <c r="G162" s="133"/>
      <c r="H162" s="133"/>
      <c r="I162" s="133"/>
      <c r="J162" s="133"/>
      <c r="K162" s="133"/>
      <c r="P162" s="120"/>
      <c r="Q162" s="120"/>
      <c r="R162" s="120"/>
    </row>
    <row r="163" spans="1:18" s="128" customFormat="1" ht="15" customHeight="1" x14ac:dyDescent="0.25">
      <c r="A163" s="120"/>
      <c r="B163" s="120"/>
      <c r="C163" s="120"/>
      <c r="D163" s="120"/>
      <c r="E163" s="120"/>
      <c r="F163" s="133"/>
      <c r="G163" s="133"/>
      <c r="H163" s="133"/>
      <c r="I163" s="133"/>
      <c r="J163" s="133"/>
      <c r="K163" s="133"/>
      <c r="L163" s="133"/>
      <c r="M163" s="133"/>
      <c r="P163" s="120"/>
      <c r="Q163" s="120"/>
      <c r="R163" s="120"/>
    </row>
    <row r="164" spans="1:18" s="128" customFormat="1" ht="15" customHeight="1" x14ac:dyDescent="0.25">
      <c r="A164" s="123"/>
      <c r="B164" s="123"/>
      <c r="C164" s="123"/>
      <c r="D164" s="123"/>
      <c r="E164" s="120"/>
      <c r="F164" s="150"/>
      <c r="G164" s="150"/>
      <c r="H164" s="150"/>
      <c r="I164" s="150"/>
      <c r="J164" s="150"/>
      <c r="K164" s="150"/>
      <c r="L164" s="150"/>
      <c r="M164" s="150"/>
      <c r="N164" s="99"/>
      <c r="O164" s="99"/>
      <c r="P164" s="120"/>
      <c r="Q164" s="120"/>
      <c r="R164" s="120"/>
    </row>
    <row r="165" spans="1:18" s="128" customFormat="1" ht="15" customHeight="1" x14ac:dyDescent="0.25">
      <c r="A165" s="123"/>
      <c r="B165" s="123"/>
      <c r="C165" s="123"/>
      <c r="D165" s="123"/>
      <c r="E165" s="120"/>
      <c r="F165" s="99"/>
      <c r="G165" s="99"/>
      <c r="H165" s="236"/>
      <c r="I165" s="236"/>
      <c r="J165" s="236"/>
      <c r="K165" s="236"/>
      <c r="L165" s="99"/>
      <c r="M165" s="99"/>
      <c r="N165" s="99"/>
      <c r="O165" s="99"/>
      <c r="P165" s="120"/>
      <c r="Q165" s="120"/>
      <c r="R165" s="120"/>
    </row>
    <row r="166" spans="1:18" s="128" customFormat="1" ht="15" customHeight="1" x14ac:dyDescent="0.25">
      <c r="A166" s="123"/>
      <c r="B166" s="123"/>
      <c r="C166" s="123"/>
      <c r="D166" s="123"/>
      <c r="E166" s="120"/>
      <c r="F166" s="99"/>
      <c r="G166" s="99"/>
      <c r="H166" s="236"/>
      <c r="I166" s="236"/>
      <c r="J166" s="236"/>
      <c r="K166" s="236"/>
      <c r="L166" s="99"/>
      <c r="M166" s="99"/>
      <c r="N166" s="99"/>
      <c r="O166" s="99"/>
      <c r="P166" s="120"/>
      <c r="Q166" s="120"/>
      <c r="R166" s="120"/>
    </row>
    <row r="167" spans="1:18" s="128" customFormat="1" ht="15" customHeight="1" x14ac:dyDescent="0.25">
      <c r="A167" s="123"/>
      <c r="B167" s="123"/>
      <c r="C167" s="123"/>
      <c r="D167" s="123"/>
      <c r="E167" s="120"/>
      <c r="H167" s="131"/>
      <c r="I167" s="131"/>
      <c r="J167" s="131"/>
      <c r="K167" s="131"/>
      <c r="P167" s="120"/>
      <c r="Q167" s="120"/>
      <c r="R167" s="120"/>
    </row>
    <row r="168" spans="1:18" s="128" customFormat="1" ht="15" hidden="1" customHeight="1" x14ac:dyDescent="0.25">
      <c r="A168" s="123"/>
      <c r="B168" s="123"/>
      <c r="C168" s="123"/>
      <c r="D168" s="123"/>
      <c r="E168" s="120"/>
      <c r="F168" s="120"/>
      <c r="G168" s="120"/>
      <c r="H168" s="122"/>
      <c r="I168" s="122"/>
      <c r="J168" s="122"/>
      <c r="K168" s="122"/>
      <c r="L168" s="120"/>
      <c r="M168" s="120"/>
      <c r="N168" s="120"/>
      <c r="O168" s="120"/>
      <c r="P168" s="120"/>
      <c r="Q168" s="120"/>
      <c r="R168" s="120"/>
    </row>
  </sheetData>
  <sheetProtection algorithmName="SHA-512" hashValue="XVSkwwbQzdlGJrc1Rgd74iyCjbM1JYco6MEZ8bQDXLgdsZ0d97oQbriGGFHUidmVe9uT7RVRTYs7+hMXNaDhqg==" saltValue="fjJUvElTaMh6E/APMUM2JQ==" spinCount="100000" sheet="1" objects="1" scenarios="1" selectLockedCells="1"/>
  <dataConsolidate link="1"/>
  <mergeCells count="118">
    <mergeCell ref="F84:G84"/>
    <mergeCell ref="F81:G82"/>
    <mergeCell ref="H81:H82"/>
    <mergeCell ref="F92:G92"/>
    <mergeCell ref="I81:O82"/>
    <mergeCell ref="F160:G160"/>
    <mergeCell ref="I160:O160"/>
    <mergeCell ref="F149:L150"/>
    <mergeCell ref="M149:N150"/>
    <mergeCell ref="F151:G151"/>
    <mergeCell ref="I151:O151"/>
    <mergeCell ref="F83:G83"/>
    <mergeCell ref="F107:H107"/>
    <mergeCell ref="I107:O109"/>
    <mergeCell ref="F108:H109"/>
    <mergeCell ref="F95:G95"/>
    <mergeCell ref="I95:O95"/>
    <mergeCell ref="F103:H103"/>
    <mergeCell ref="I103:O105"/>
    <mergeCell ref="F104:H105"/>
    <mergeCell ref="F99:H99"/>
    <mergeCell ref="F100:H101"/>
    <mergeCell ref="F85:G85"/>
    <mergeCell ref="F86:G86"/>
    <mergeCell ref="F161:G161"/>
    <mergeCell ref="I161:O161"/>
    <mergeCell ref="F156:L157"/>
    <mergeCell ref="M156:N157"/>
    <mergeCell ref="F158:G158"/>
    <mergeCell ref="I158:O158"/>
    <mergeCell ref="F159:G159"/>
    <mergeCell ref="I159:O159"/>
    <mergeCell ref="F152:G152"/>
    <mergeCell ref="I152:O152"/>
    <mergeCell ref="F153:G153"/>
    <mergeCell ref="I153:O153"/>
    <mergeCell ref="F154:G154"/>
    <mergeCell ref="I154:O154"/>
    <mergeCell ref="A1:E6"/>
    <mergeCell ref="A7:E12"/>
    <mergeCell ref="A13:E16"/>
    <mergeCell ref="A17:E22"/>
    <mergeCell ref="A23:E28"/>
    <mergeCell ref="F9:G9"/>
    <mergeCell ref="F10:G10"/>
    <mergeCell ref="F11:G11"/>
    <mergeCell ref="F12:G12"/>
    <mergeCell ref="F13:G13"/>
    <mergeCell ref="F14:G14"/>
    <mergeCell ref="I99:O101"/>
    <mergeCell ref="I93:O93"/>
    <mergeCell ref="I94:O94"/>
    <mergeCell ref="I92:O92"/>
    <mergeCell ref="I9:O9"/>
    <mergeCell ref="I10:O10"/>
    <mergeCell ref="I11:O11"/>
    <mergeCell ref="I12:O12"/>
    <mergeCell ref="I13:O13"/>
    <mergeCell ref="I14:O14"/>
    <mergeCell ref="I89:O89"/>
    <mergeCell ref="I83:O83"/>
    <mergeCell ref="I85:O85"/>
    <mergeCell ref="I86:O86"/>
    <mergeCell ref="I87:O87"/>
    <mergeCell ref="I88:O88"/>
    <mergeCell ref="I84:O84"/>
    <mergeCell ref="M18:N18"/>
    <mergeCell ref="H54:L54"/>
    <mergeCell ref="K18:L18"/>
    <mergeCell ref="M54:N54"/>
    <mergeCell ref="F127:F129"/>
    <mergeCell ref="F125:M126"/>
    <mergeCell ref="K115:K117"/>
    <mergeCell ref="F96:G96"/>
    <mergeCell ref="I91:O91"/>
    <mergeCell ref="F88:G88"/>
    <mergeCell ref="F89:G89"/>
    <mergeCell ref="F87:G87"/>
    <mergeCell ref="F93:G93"/>
    <mergeCell ref="F94:G94"/>
    <mergeCell ref="F91:G91"/>
    <mergeCell ref="F90:G90"/>
    <mergeCell ref="F113:M114"/>
    <mergeCell ref="F115:F117"/>
    <mergeCell ref="G115:G117"/>
    <mergeCell ref="H115:H117"/>
    <mergeCell ref="I115:I117"/>
    <mergeCell ref="J115:J117"/>
    <mergeCell ref="L115:L117"/>
    <mergeCell ref="M115:M117"/>
    <mergeCell ref="I90:O90"/>
    <mergeCell ref="I96:O96"/>
    <mergeCell ref="F97:G97"/>
    <mergeCell ref="I97:O97"/>
    <mergeCell ref="P99:R99"/>
    <mergeCell ref="P100:Q100"/>
    <mergeCell ref="P101:Q101"/>
    <mergeCell ref="P102:Q102"/>
    <mergeCell ref="P103:Q103"/>
    <mergeCell ref="P1:R22"/>
    <mergeCell ref="L137:O140"/>
    <mergeCell ref="L141:O144"/>
    <mergeCell ref="F142:I142"/>
    <mergeCell ref="F137:F139"/>
    <mergeCell ref="G137:G139"/>
    <mergeCell ref="H137:H139"/>
    <mergeCell ref="I137:I139"/>
    <mergeCell ref="J137:J139"/>
    <mergeCell ref="F133:I133"/>
    <mergeCell ref="F132:I132"/>
    <mergeCell ref="L131:O134"/>
    <mergeCell ref="F135:M136"/>
    <mergeCell ref="L127:O130"/>
    <mergeCell ref="K127:K129"/>
    <mergeCell ref="J127:J129"/>
    <mergeCell ref="I127:I129"/>
    <mergeCell ref="H127:H129"/>
    <mergeCell ref="G127:G129"/>
  </mergeCells>
  <conditionalFormatting sqref="F151:G151">
    <cfRule type="expression" dxfId="125" priority="70">
      <formula>$M$149="NO"</formula>
    </cfRule>
    <cfRule type="expression" dxfId="124" priority="71">
      <formula>$M$149="SI"</formula>
    </cfRule>
  </conditionalFormatting>
  <conditionalFormatting sqref="F152:G152">
    <cfRule type="expression" dxfId="123" priority="68">
      <formula>$M$149="NO"</formula>
    </cfRule>
    <cfRule type="expression" dxfId="122" priority="69">
      <formula>$M$149="SI"</formula>
    </cfRule>
  </conditionalFormatting>
  <conditionalFormatting sqref="F153:G153">
    <cfRule type="expression" dxfId="121" priority="66">
      <formula>$M$149="NO"</formula>
    </cfRule>
    <cfRule type="expression" dxfId="120" priority="67">
      <formula>$M$149="SI"</formula>
    </cfRule>
  </conditionalFormatting>
  <conditionalFormatting sqref="F154:G154">
    <cfRule type="expression" dxfId="119" priority="64">
      <formula>$M$149="NO"</formula>
    </cfRule>
    <cfRule type="expression" dxfId="118" priority="65">
      <formula>$M$149="SI"</formula>
    </cfRule>
  </conditionalFormatting>
  <conditionalFormatting sqref="H151">
    <cfRule type="expression" dxfId="117" priority="62">
      <formula>$M$149="NO"</formula>
    </cfRule>
    <cfRule type="expression" dxfId="116" priority="63">
      <formula>$M$149="SI"</formula>
    </cfRule>
  </conditionalFormatting>
  <conditionalFormatting sqref="I151:O151">
    <cfRule type="expression" dxfId="115" priority="58">
      <formula>$M$149="NO"</formula>
    </cfRule>
    <cfRule type="expression" dxfId="114" priority="59">
      <formula>$M$149="SI"</formula>
    </cfRule>
  </conditionalFormatting>
  <conditionalFormatting sqref="H152">
    <cfRule type="expression" dxfId="113" priority="56">
      <formula>$M$149="NO"</formula>
    </cfRule>
    <cfRule type="expression" dxfId="112" priority="57">
      <formula>$M$149="SI"</formula>
    </cfRule>
  </conditionalFormatting>
  <conditionalFormatting sqref="H153">
    <cfRule type="expression" dxfId="111" priority="21">
      <formula>$H$152=600</formula>
    </cfRule>
    <cfRule type="expression" dxfId="110" priority="54">
      <formula>$M$149="NO"</formula>
    </cfRule>
    <cfRule type="expression" dxfId="109" priority="55">
      <formula>$M$149="SI"</formula>
    </cfRule>
  </conditionalFormatting>
  <conditionalFormatting sqref="H154">
    <cfRule type="expression" dxfId="108" priority="52">
      <formula>$M$149="NO"</formula>
    </cfRule>
    <cfRule type="expression" dxfId="107" priority="53">
      <formula>$M$149="SI"</formula>
    </cfRule>
  </conditionalFormatting>
  <conditionalFormatting sqref="I152:O152">
    <cfRule type="expression" dxfId="106" priority="50">
      <formula>$M$149="NO"</formula>
    </cfRule>
    <cfRule type="expression" dxfId="105" priority="51">
      <formula>$M$149="SI"</formula>
    </cfRule>
  </conditionalFormatting>
  <conditionalFormatting sqref="I153:O153">
    <cfRule type="expression" dxfId="104" priority="48">
      <formula>$M$149="NO"</formula>
    </cfRule>
    <cfRule type="expression" dxfId="103" priority="49">
      <formula>$M$149="SI"</formula>
    </cfRule>
  </conditionalFormatting>
  <conditionalFormatting sqref="I154:O154">
    <cfRule type="expression" dxfId="102" priority="46">
      <formula>$M$149="NO"</formula>
    </cfRule>
    <cfRule type="expression" dxfId="101" priority="47">
      <formula>$M$149="SI"</formula>
    </cfRule>
  </conditionalFormatting>
  <conditionalFormatting sqref="F158:G158">
    <cfRule type="expression" dxfId="100" priority="44">
      <formula>$M$156="NO"</formula>
    </cfRule>
    <cfRule type="expression" dxfId="99" priority="45">
      <formula>$M$156="SI"</formula>
    </cfRule>
  </conditionalFormatting>
  <conditionalFormatting sqref="F160:G160">
    <cfRule type="expression" dxfId="98" priority="42">
      <formula>$M$156="NO"</formula>
    </cfRule>
    <cfRule type="expression" dxfId="97" priority="43">
      <formula>$M$156="SI"</formula>
    </cfRule>
  </conditionalFormatting>
  <conditionalFormatting sqref="F159:G159">
    <cfRule type="expression" dxfId="96" priority="40">
      <formula>$M$156="NO"</formula>
    </cfRule>
    <cfRule type="expression" dxfId="95" priority="41">
      <formula>$M$156="SI"</formula>
    </cfRule>
  </conditionalFormatting>
  <conditionalFormatting sqref="F161:G161">
    <cfRule type="expression" dxfId="94" priority="38">
      <formula>$M$156="NO"</formula>
    </cfRule>
    <cfRule type="expression" dxfId="93" priority="39">
      <formula>$M$156="SI"</formula>
    </cfRule>
  </conditionalFormatting>
  <conditionalFormatting sqref="H158">
    <cfRule type="expression" dxfId="92" priority="36">
      <formula>$M$156="NO"</formula>
    </cfRule>
    <cfRule type="expression" dxfId="91" priority="37">
      <formula>$M$156="SI"</formula>
    </cfRule>
  </conditionalFormatting>
  <conditionalFormatting sqref="H159">
    <cfRule type="expression" dxfId="90" priority="34">
      <formula>$M$156="NO"</formula>
    </cfRule>
    <cfRule type="expression" dxfId="89" priority="35">
      <formula>$M$156="SI"</formula>
    </cfRule>
  </conditionalFormatting>
  <conditionalFormatting sqref="H160">
    <cfRule type="expression" dxfId="88" priority="20">
      <formula>$H$159=600</formula>
    </cfRule>
    <cfRule type="expression" dxfId="87" priority="32">
      <formula>$M$156="NO"</formula>
    </cfRule>
    <cfRule type="expression" dxfId="86" priority="33">
      <formula>$M$156="SI"</formula>
    </cfRule>
  </conditionalFormatting>
  <conditionalFormatting sqref="H161">
    <cfRule type="expression" dxfId="85" priority="30">
      <formula>$M$156="NO"</formula>
    </cfRule>
    <cfRule type="expression" dxfId="84" priority="31">
      <formula>$M$156="SI"</formula>
    </cfRule>
  </conditionalFormatting>
  <conditionalFormatting sqref="I158:O158">
    <cfRule type="expression" dxfId="83" priority="28">
      <formula>$M$156="NO"</formula>
    </cfRule>
    <cfRule type="expression" dxfId="82" priority="29">
      <formula>$M$156="SI"</formula>
    </cfRule>
  </conditionalFormatting>
  <conditionalFormatting sqref="I159:O159">
    <cfRule type="expression" dxfId="81" priority="26">
      <formula>$M$156="NO"</formula>
    </cfRule>
    <cfRule type="expression" dxfId="80" priority="27">
      <formula>$M$156="SI"</formula>
    </cfRule>
  </conditionalFormatting>
  <conditionalFormatting sqref="I160:O160">
    <cfRule type="expression" dxfId="79" priority="24">
      <formula>$M$156="NO"</formula>
    </cfRule>
    <cfRule type="expression" dxfId="78" priority="25">
      <formula>$M$156="SI"</formula>
    </cfRule>
  </conditionalFormatting>
  <conditionalFormatting sqref="I161:O161">
    <cfRule type="expression" dxfId="77" priority="22">
      <formula>$M$156="NO"</formula>
    </cfRule>
    <cfRule type="expression" dxfId="76" priority="23">
      <formula>$M$156="SI"</formula>
    </cfRule>
  </conditionalFormatting>
  <conditionalFormatting sqref="F96:O96">
    <cfRule type="expression" dxfId="75" priority="13">
      <formula>$H$81="Aquacell Core"</formula>
    </cfRule>
  </conditionalFormatting>
  <conditionalFormatting sqref="F97:O97">
    <cfRule type="expression" dxfId="74" priority="12">
      <formula>$H$81="Aquacell Core"</formula>
    </cfRule>
  </conditionalFormatting>
  <conditionalFormatting sqref="H92">
    <cfRule type="expression" dxfId="73" priority="9">
      <formula>$H$81="Aquacell Core"</formula>
    </cfRule>
  </conditionalFormatting>
  <conditionalFormatting sqref="H84">
    <cfRule type="expression" dxfId="72" priority="8">
      <formula>OR($H$83="Zona Peatonal",$H$83="Zona Verde")</formula>
    </cfRule>
  </conditionalFormatting>
  <conditionalFormatting sqref="F100:H101">
    <cfRule type="expression" dxfId="71" priority="7">
      <formula>AND(F100&lt;&gt;"OK",F100&lt;&gt;"")</formula>
    </cfRule>
  </conditionalFormatting>
  <conditionalFormatting sqref="F104:H105">
    <cfRule type="expression" dxfId="70" priority="4">
      <formula>F104="Valor Máximo alcanzado"</formula>
    </cfRule>
    <cfRule type="expression" dxfId="69" priority="5">
      <formula>F104="Aumentar Recubrimiento"</formula>
    </cfRule>
    <cfRule type="expression" dxfId="68" priority="6">
      <formula>F104="Resistencia Excedida"</formula>
    </cfRule>
  </conditionalFormatting>
  <conditionalFormatting sqref="F103:O105">
    <cfRule type="expression" dxfId="67" priority="3">
      <formula>$H$81="Aquacell Core"</formula>
    </cfRule>
  </conditionalFormatting>
  <conditionalFormatting sqref="M18:N53">
    <cfRule type="expression" dxfId="66" priority="1">
      <formula>OR($H$13="",$H$13=0)</formula>
    </cfRule>
  </conditionalFormatting>
  <dataValidations count="13">
    <dataValidation type="list" allowBlank="1" showInputMessage="1" showErrorMessage="1" sqref="H83" xr:uid="{A54ED88D-102D-4C12-A813-1314C0AF452D}">
      <formula1>"Zona Verde, Zona Peatonal,Parqueadero,Zona Vehicular"</formula1>
    </dataValidation>
    <dataValidation type="list" allowBlank="1" showInputMessage="1" showErrorMessage="1" sqref="M149:N150 M156:N157" xr:uid="{A5264B4C-6799-43A7-BECF-D26989658209}">
      <formula1>"SI,NO"</formula1>
    </dataValidation>
    <dataValidation allowBlank="1" showInputMessage="1" showErrorMessage="1" promptTitle="Valor por Defecto:" prompt="El valor por defecto es de 36 minutos. Con lo cual se calcula una tormenta de 180 minutos o 3 horas de duración. En caso de querer una tormenta de una duración diferente, ingresar el valor correspondiente" sqref="H9" xr:uid="{87A25C7F-5973-4AD5-966A-BFDA41DC6159}"/>
    <dataValidation type="list" allowBlank="1" showInputMessage="1" showErrorMessage="1" sqref="J140" xr:uid="{0F2C9AAF-D7B4-488C-83BC-F90C3A038081}">
      <formula1>"1,2,3,4"</formula1>
    </dataValidation>
    <dataValidation type="list" allowBlank="1" showInputMessage="1" showErrorMessage="1" sqref="H81:H82" xr:uid="{7CBCCB0A-93E0-4763-B170-AA3C01374D4E}">
      <formula1>"Aquacell Core,Aquacell NG"</formula1>
    </dataValidation>
    <dataValidation type="whole" allowBlank="1" showInputMessage="1" showErrorMessage="1" errorTitle="Valor ingresado erróneo" error="Debes ingresar un númer entero (mínimo 1 máximo 10)." sqref="H86" xr:uid="{661F79EE-29CF-41EE-9C33-BC201E12E4B2}">
      <formula1>1</formula1>
      <formula2>10</formula2>
    </dataValidation>
    <dataValidation type="custom" allowBlank="1" showInputMessage="1" showErrorMessage="1" errorTitle="Valor ingresado erróneo" error="Debes ingresar números que sean múltiplos de las dimensiones mínimas de las celdas Aqaucell. Este valor está indicado en el texto a tu derecha." sqref="H88" xr:uid="{8E88EA4C-3B2D-443D-8555-91C6597721E8}">
      <formula1>H88=IF(H81="Aquacell Core",MROUND(H88,0.5),MROUND(H88,0.6))</formula1>
    </dataValidation>
    <dataValidation type="list" allowBlank="1" showInputMessage="1" showErrorMessage="1" sqref="G140 G130 G118:G123" xr:uid="{6F58E54C-CCC5-4571-8C6B-0BDFAF452824}">
      <formula1>IF($H$81="Aquacell Core",D_NOM_C,D_NOM_NG)</formula1>
    </dataValidation>
    <dataValidation type="custom" allowBlank="1" showInputMessage="1" showErrorMessage="1" errorTitle="Valor ingresado erróneo" error="Debes ingresar números que sean múltiplos de las dimensiones mínimas de las celdas Aqaucell. Este valor está indicado en el texto a tu derecha." sqref="H89" xr:uid="{A4D16F55-9DF2-438B-AF63-A872BC19AE24}">
      <formula1>H89=IF(H81="Aquacell Core",MROUND(H89,0.5),MROUND(H89,1.2))</formula1>
    </dataValidation>
    <dataValidation type="list" allowBlank="1" showInputMessage="1" showErrorMessage="1" sqref="H159" xr:uid="{D63E76A3-2608-4EA2-AF77-C72E8F880BA3}">
      <formula1>IF($M$156="SI",$A$84:$A$85,"")</formula1>
    </dataValidation>
    <dataValidation type="list" allowBlank="1" showInputMessage="1" showErrorMessage="1" sqref="H152" xr:uid="{265A0312-B683-4B99-A054-BCADAC4FEF75}">
      <formula1>IF($M$149="SI",$A$84:$A$85,"")</formula1>
    </dataValidation>
    <dataValidation type="decimal" allowBlank="1" showInputMessage="1" showErrorMessage="1" errorTitle="Valor ingresado erróneo" error="El valor mínimo de carga es de 1 Tonelada por llanta. Por otra parte, el valor máximo permitido de carga de tráfico es de 10 Toneladas por llanta." sqref="H84" xr:uid="{FC48248F-E734-4BE8-AA3B-0E8050D82FCE}">
      <formula1>1</formula1>
      <formula2>10</formula2>
    </dataValidation>
    <dataValidation type="whole" allowBlank="1" showInputMessage="1" showErrorMessage="1" errorTitle="Valor ingresado erróneo" error="El valor mínimo es 1. Por otra parte, el valor debe ser como máximo igual al valor No. de Capas. Revisa nuevamente y corrige el problema." sqref="H92" xr:uid="{48FD484D-0564-4871-A078-0BD495E9960F}">
      <formula1>1</formula1>
      <formula2>H86</formula2>
    </dataValidation>
  </dataValidations>
  <pageMargins left="0.7" right="0.7" top="0.75" bottom="0.75" header="0.3" footer="0.3"/>
  <pageSetup orientation="portrait" r:id="rId1"/>
  <ignoredErrors>
    <ignoredError sqref="F130 F140"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ECA11B7-C9EB-4C42-BB1A-AEC3B4D3B99B}">
          <x14:formula1>
            <xm:f>IF(OR($H$152=600,M149="NO"),"",'CÁLCULO MATERIALES AQUACELL'!$AQ$25:$AQ$26)</xm:f>
          </x14:formula1>
          <xm:sqref>H153</xm:sqref>
        </x14:dataValidation>
        <x14:dataValidation type="list" allowBlank="1" showInputMessage="1" showErrorMessage="1" xr:uid="{90A29EC2-D4FD-4494-A095-D205E7FBDEA2}">
          <x14:formula1>
            <xm:f>IF(OR($H$159=600,M156="NO"),"",'CÁLCULO MATERIALES AQUACELL'!$AQ$25:$AQ$26)</xm:f>
          </x14:formula1>
          <xm:sqref>H160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AC73E-B00A-48AC-ABBC-74C69A748443}">
  <sheetPr codeName="Hoja23">
    <pageSetUpPr autoPageBreaks="0"/>
  </sheetPr>
  <dimension ref="A1:R100"/>
  <sheetViews>
    <sheetView showGridLines="0" showRowColHeaders="0" zoomScale="80" zoomScaleNormal="80" workbookViewId="0">
      <selection sqref="A1:E6"/>
    </sheetView>
  </sheetViews>
  <sheetFormatPr baseColWidth="10" defaultColWidth="0" defaultRowHeight="15" zeroHeight="1" x14ac:dyDescent="0.25"/>
  <cols>
    <col min="1" max="17" width="11.42578125" style="120" customWidth="1"/>
    <col min="18" max="18" width="15.85546875" style="120" customWidth="1"/>
    <col min="19" max="21" width="11.42578125" style="120" hidden="1" customWidth="1"/>
    <col min="22" max="16384" width="11.42578125" style="120" hidden="1"/>
  </cols>
  <sheetData>
    <row r="1" spans="1:16" s="310" customFormat="1" ht="15" customHeight="1" x14ac:dyDescent="0.25">
      <c r="A1" s="299" t="s">
        <v>12</v>
      </c>
      <c r="B1" s="299"/>
      <c r="C1" s="299"/>
      <c r="D1" s="299"/>
      <c r="E1" s="299"/>
      <c r="F1" s="128"/>
      <c r="G1" s="128"/>
      <c r="H1" s="128"/>
      <c r="I1" s="128"/>
      <c r="J1" s="128"/>
      <c r="K1" s="128"/>
      <c r="L1" s="128"/>
      <c r="M1" s="128"/>
      <c r="N1" s="128"/>
      <c r="O1" s="128"/>
      <c r="P1" s="310" t="s">
        <v>1</v>
      </c>
    </row>
    <row r="2" spans="1:16" s="310" customFormat="1" ht="15" customHeight="1" x14ac:dyDescent="0.25">
      <c r="A2" s="299"/>
      <c r="B2" s="299"/>
      <c r="C2" s="299"/>
      <c r="D2" s="299"/>
      <c r="E2" s="299"/>
      <c r="F2" s="128"/>
      <c r="G2" s="128"/>
      <c r="H2" s="128"/>
      <c r="I2" s="128"/>
      <c r="J2" s="128"/>
      <c r="K2" s="128"/>
      <c r="L2" s="128"/>
      <c r="M2" s="128"/>
      <c r="N2" s="128"/>
      <c r="O2" s="147"/>
    </row>
    <row r="3" spans="1:16" s="310" customFormat="1" ht="15" customHeight="1" x14ac:dyDescent="0.25">
      <c r="A3" s="299"/>
      <c r="B3" s="299"/>
      <c r="C3" s="299"/>
      <c r="D3" s="299"/>
      <c r="E3" s="299"/>
      <c r="F3" s="128"/>
      <c r="G3" s="128"/>
      <c r="H3" s="128"/>
      <c r="I3" s="128"/>
      <c r="J3" s="128"/>
      <c r="K3" s="128"/>
      <c r="L3" s="128"/>
      <c r="M3" s="128"/>
      <c r="N3" s="128"/>
      <c r="O3" s="147"/>
    </row>
    <row r="4" spans="1:16" s="310" customFormat="1" ht="15" customHeight="1" x14ac:dyDescent="0.25">
      <c r="A4" s="299"/>
      <c r="B4" s="299"/>
      <c r="C4" s="299"/>
      <c r="D4" s="299"/>
      <c r="E4" s="299"/>
      <c r="F4" s="128"/>
      <c r="G4" s="128"/>
      <c r="H4" s="128"/>
      <c r="I4" s="128"/>
      <c r="J4" s="128"/>
      <c r="K4" s="128"/>
      <c r="L4" s="128"/>
      <c r="M4" s="128"/>
      <c r="N4" s="128"/>
      <c r="O4" s="147"/>
    </row>
    <row r="5" spans="1:16" s="310" customFormat="1" ht="15" customHeight="1" x14ac:dyDescent="0.25">
      <c r="A5" s="299"/>
      <c r="B5" s="299"/>
      <c r="C5" s="299"/>
      <c r="D5" s="299"/>
      <c r="E5" s="299"/>
      <c r="F5" s="128"/>
      <c r="G5" s="128"/>
      <c r="H5" s="128"/>
      <c r="I5" s="128"/>
      <c r="J5" s="128"/>
      <c r="K5" s="128"/>
      <c r="L5" s="128"/>
      <c r="M5" s="128"/>
      <c r="N5" s="128"/>
      <c r="O5" s="147"/>
    </row>
    <row r="6" spans="1:16" s="310" customFormat="1" ht="15" customHeight="1" x14ac:dyDescent="0.25">
      <c r="A6" s="299"/>
      <c r="B6" s="299"/>
      <c r="C6" s="299"/>
      <c r="D6" s="299"/>
      <c r="E6" s="299"/>
      <c r="F6" s="150"/>
      <c r="G6" s="150"/>
      <c r="H6" s="150"/>
      <c r="I6" s="150"/>
      <c r="J6" s="150"/>
      <c r="K6" s="150"/>
      <c r="L6" s="150"/>
      <c r="M6" s="150"/>
      <c r="N6" s="99"/>
      <c r="O6" s="99"/>
    </row>
    <row r="7" spans="1:16" s="310" customFormat="1" ht="15" customHeight="1" x14ac:dyDescent="0.25">
      <c r="A7" s="299" t="s">
        <v>6</v>
      </c>
      <c r="B7" s="299"/>
      <c r="C7" s="299"/>
      <c r="D7" s="299"/>
      <c r="E7" s="299"/>
      <c r="F7" s="150"/>
      <c r="G7" s="150"/>
      <c r="H7" s="150"/>
      <c r="I7" s="150"/>
      <c r="J7" s="150"/>
      <c r="K7" s="150"/>
      <c r="L7" s="150"/>
      <c r="M7" s="150"/>
      <c r="N7" s="99"/>
      <c r="O7" s="99"/>
    </row>
    <row r="8" spans="1:16" s="310" customFormat="1" ht="15" customHeight="1" x14ac:dyDescent="0.25">
      <c r="A8" s="299"/>
      <c r="B8" s="299"/>
      <c r="C8" s="299"/>
      <c r="D8" s="299"/>
      <c r="E8" s="299"/>
      <c r="F8" s="150"/>
      <c r="G8" s="150"/>
      <c r="H8" s="150"/>
      <c r="I8" s="150"/>
      <c r="J8" s="150"/>
      <c r="K8" s="150"/>
      <c r="L8" s="150"/>
      <c r="M8" s="150"/>
      <c r="N8" s="99"/>
      <c r="O8" s="99"/>
    </row>
    <row r="9" spans="1:16" s="310" customFormat="1" ht="15" customHeight="1" x14ac:dyDescent="0.25">
      <c r="A9" s="299"/>
      <c r="B9" s="299"/>
      <c r="C9" s="299"/>
      <c r="D9" s="299"/>
      <c r="E9" s="299"/>
      <c r="F9" s="350" t="s">
        <v>2765</v>
      </c>
      <c r="G9" s="350"/>
      <c r="H9" s="350"/>
      <c r="I9" s="351" t="str">
        <f>IF('DATOS DEL PROYECTO'!I38="Si",IF('DATOS DEL PROYECTO'!L38&lt;&gt;"",'DATOS DEL PROYECTO'!L38,""),"")</f>
        <v/>
      </c>
      <c r="J9" s="352"/>
      <c r="K9" s="353"/>
      <c r="L9" s="350" t="str">
        <f>'DATOS DEL PROYECTO'!M38</f>
        <v>m³</v>
      </c>
      <c r="M9" s="133"/>
      <c r="N9" s="128"/>
      <c r="O9" s="128"/>
    </row>
    <row r="10" spans="1:16" s="310" customFormat="1" ht="15" customHeight="1" x14ac:dyDescent="0.25">
      <c r="A10" s="299"/>
      <c r="B10" s="299"/>
      <c r="C10" s="299"/>
      <c r="D10" s="299"/>
      <c r="E10" s="299"/>
      <c r="F10" s="350"/>
      <c r="G10" s="350"/>
      <c r="H10" s="350"/>
      <c r="I10" s="354"/>
      <c r="J10" s="355"/>
      <c r="K10" s="356"/>
      <c r="L10" s="350"/>
      <c r="M10" s="133"/>
      <c r="N10" s="128"/>
      <c r="O10" s="128"/>
    </row>
    <row r="11" spans="1:16" s="310" customFormat="1" ht="15" customHeight="1" x14ac:dyDescent="0.25">
      <c r="A11" s="299"/>
      <c r="B11" s="299"/>
      <c r="C11" s="299"/>
      <c r="D11" s="299"/>
      <c r="E11" s="299"/>
      <c r="F11" s="317" t="s">
        <v>17</v>
      </c>
      <c r="G11" s="318"/>
      <c r="H11" s="174"/>
      <c r="I11" s="325" t="s">
        <v>2772</v>
      </c>
      <c r="J11" s="325"/>
      <c r="K11" s="325"/>
      <c r="L11" s="325"/>
      <c r="M11" s="325"/>
      <c r="N11" s="325"/>
      <c r="O11" s="326"/>
    </row>
    <row r="12" spans="1:16" s="310" customFormat="1" ht="15" customHeight="1" x14ac:dyDescent="0.25">
      <c r="A12" s="299"/>
      <c r="B12" s="299"/>
      <c r="C12" s="299"/>
      <c r="D12" s="299"/>
      <c r="E12" s="299"/>
      <c r="F12" s="317" t="s">
        <v>19</v>
      </c>
      <c r="G12" s="318"/>
      <c r="H12" s="174"/>
      <c r="I12" s="325" t="s">
        <v>20</v>
      </c>
      <c r="J12" s="325"/>
      <c r="K12" s="325"/>
      <c r="L12" s="325"/>
      <c r="M12" s="325"/>
      <c r="N12" s="325"/>
      <c r="O12" s="326"/>
    </row>
    <row r="13" spans="1:16" s="310" customFormat="1" ht="15" customHeight="1" x14ac:dyDescent="0.25">
      <c r="A13" s="299" t="s">
        <v>21</v>
      </c>
      <c r="B13" s="299"/>
      <c r="C13" s="299"/>
      <c r="D13" s="299"/>
      <c r="E13" s="299"/>
      <c r="F13" s="317" t="s">
        <v>2767</v>
      </c>
      <c r="G13" s="318"/>
      <c r="H13" s="339" t="s">
        <v>3061</v>
      </c>
      <c r="I13" s="357"/>
      <c r="J13" s="357"/>
      <c r="K13" s="357"/>
      <c r="L13" s="357"/>
      <c r="M13" s="357"/>
      <c r="N13" s="357"/>
      <c r="O13" s="358"/>
    </row>
    <row r="14" spans="1:16" s="310" customFormat="1" ht="15" customHeight="1" x14ac:dyDescent="0.25">
      <c r="A14" s="299"/>
      <c r="B14" s="299"/>
      <c r="C14" s="299"/>
      <c r="D14" s="299"/>
      <c r="E14" s="299"/>
      <c r="F14" s="317"/>
      <c r="G14" s="318"/>
      <c r="H14" s="339"/>
      <c r="I14" s="357"/>
      <c r="J14" s="357"/>
      <c r="K14" s="357"/>
      <c r="L14" s="357"/>
      <c r="M14" s="357"/>
      <c r="N14" s="357"/>
      <c r="O14" s="358"/>
    </row>
    <row r="15" spans="1:16" s="310" customFormat="1" ht="15" customHeight="1" x14ac:dyDescent="0.25">
      <c r="A15" s="299"/>
      <c r="B15" s="299"/>
      <c r="C15" s="299"/>
      <c r="D15" s="299"/>
      <c r="E15" s="299"/>
      <c r="F15" s="317" t="s">
        <v>30</v>
      </c>
      <c r="G15" s="318"/>
      <c r="H15" s="227"/>
      <c r="I15" s="319" t="s">
        <v>3027</v>
      </c>
      <c r="J15" s="319"/>
      <c r="K15" s="319"/>
      <c r="L15" s="319"/>
      <c r="M15" s="319"/>
      <c r="N15" s="319"/>
      <c r="O15" s="320"/>
    </row>
    <row r="16" spans="1:16" s="310" customFormat="1" ht="15" customHeight="1" x14ac:dyDescent="0.25">
      <c r="A16" s="299"/>
      <c r="B16" s="299"/>
      <c r="C16" s="299"/>
      <c r="D16" s="299"/>
      <c r="E16" s="299"/>
      <c r="F16" s="338" t="s">
        <v>3026</v>
      </c>
      <c r="G16" s="317"/>
      <c r="H16" s="256"/>
      <c r="I16" s="319" t="str">
        <f>IF(OR(H15="Zona Peatonal",H15="Zona Verde"),"Para este tipo de superficie no se espera una carga de tráfico significativa","Indicar la carga aproximada por llanta (en toneladas) que se puede esperar en el tipo de rasante.")</f>
        <v>Indicar la carga aproximada por llanta (en toneladas) que se puede esperar en el tipo de rasante.</v>
      </c>
      <c r="J16" s="319"/>
      <c r="K16" s="319"/>
      <c r="L16" s="319"/>
      <c r="M16" s="319"/>
      <c r="N16" s="319"/>
      <c r="O16" s="320"/>
    </row>
    <row r="17" spans="1:18" s="310" customFormat="1" ht="15" customHeight="1" x14ac:dyDescent="0.25">
      <c r="A17" s="299" t="s">
        <v>6</v>
      </c>
      <c r="B17" s="299"/>
      <c r="C17" s="299"/>
      <c r="D17" s="299"/>
      <c r="E17" s="299"/>
      <c r="F17" s="317" t="s">
        <v>31</v>
      </c>
      <c r="G17" s="318"/>
      <c r="H17" s="227"/>
      <c r="I17" s="319" t="s">
        <v>3028</v>
      </c>
      <c r="J17" s="319"/>
      <c r="K17" s="319"/>
      <c r="L17" s="319"/>
      <c r="M17" s="319"/>
      <c r="N17" s="319"/>
      <c r="O17" s="320"/>
    </row>
    <row r="18" spans="1:18" s="310" customFormat="1" ht="15" customHeight="1" x14ac:dyDescent="0.25">
      <c r="A18" s="299"/>
      <c r="B18" s="299"/>
      <c r="C18" s="299"/>
      <c r="D18" s="299"/>
      <c r="E18" s="299"/>
      <c r="F18" s="317" t="s">
        <v>32</v>
      </c>
      <c r="G18" s="318"/>
      <c r="H18" s="227"/>
      <c r="I18" s="319" t="s">
        <v>3029</v>
      </c>
      <c r="J18" s="327"/>
      <c r="K18" s="327"/>
      <c r="L18" s="327"/>
      <c r="M18" s="327"/>
      <c r="N18" s="327"/>
      <c r="O18" s="328"/>
    </row>
    <row r="19" spans="1:18" s="310" customFormat="1" ht="15" customHeight="1" x14ac:dyDescent="0.25">
      <c r="A19" s="299"/>
      <c r="B19" s="299"/>
      <c r="C19" s="299"/>
      <c r="D19" s="299"/>
      <c r="E19" s="299"/>
      <c r="F19" s="317" t="s">
        <v>33</v>
      </c>
      <c r="G19" s="318"/>
      <c r="H19" s="188" t="str">
        <f>IF(H18&lt;&gt;"",IF(H13="Aquacell Core",H18*0.39,IF(H24&gt;0,(H18-H24)*0.4+H24*0.464,H18*0.4+0.025)),"")</f>
        <v/>
      </c>
      <c r="I19" s="319" t="str">
        <f>IF(H13="","",IF(H13="Aquacell Core","Altura calculada a partir del número de capas (Cada celda Aquacell Core tiene una altura de 0.39m).","Altura calculada a partir del número de capas (Cada celda Aquacell NG tiene una altura de 0.40m)."))</f>
        <v>Altura calculada a partir del número de capas (Cada celda Aquacell NG tiene una altura de 0.40m).</v>
      </c>
      <c r="J19" s="319"/>
      <c r="K19" s="319"/>
      <c r="L19" s="319"/>
      <c r="M19" s="319"/>
      <c r="N19" s="319"/>
      <c r="O19" s="320"/>
    </row>
    <row r="20" spans="1:18" s="310" customFormat="1" ht="15" customHeight="1" x14ac:dyDescent="0.25">
      <c r="A20" s="299"/>
      <c r="B20" s="299"/>
      <c r="C20" s="299"/>
      <c r="D20" s="299"/>
      <c r="E20" s="299"/>
      <c r="F20" s="317" t="s">
        <v>34</v>
      </c>
      <c r="G20" s="318"/>
      <c r="H20" s="228"/>
      <c r="I20" s="319" t="str">
        <f>IF(H13="","",IF(H13="Aquacell Core","Ingresar el ancho del tanque (En múltiplos de 0.5m).","Ingresar el ancho del tanque (En múltiplos de 0.6m)."))</f>
        <v>Ingresar el ancho del tanque (En múltiplos de 0.6m).</v>
      </c>
      <c r="J20" s="319"/>
      <c r="K20" s="319"/>
      <c r="L20" s="319"/>
      <c r="M20" s="319"/>
      <c r="N20" s="319"/>
      <c r="O20" s="320"/>
    </row>
    <row r="21" spans="1:18" s="310" customFormat="1" x14ac:dyDescent="0.25">
      <c r="A21" s="299"/>
      <c r="B21" s="299"/>
      <c r="C21" s="299"/>
      <c r="D21" s="299"/>
      <c r="E21" s="299"/>
      <c r="F21" s="317" t="s">
        <v>35</v>
      </c>
      <c r="G21" s="318"/>
      <c r="H21" s="228"/>
      <c r="I21" s="319" t="str">
        <f>IF(H13="","",IF(H13="Aquacell Core","Ingresar el largo del tanque (En múltiplos de 0.5m).","Ingresar el largo del tanque (En múltiplos de 1.2m)."))</f>
        <v>Ingresar el largo del tanque (En múltiplos de 1.2m).</v>
      </c>
      <c r="J21" s="319"/>
      <c r="K21" s="319"/>
      <c r="L21" s="319"/>
      <c r="M21" s="319"/>
      <c r="N21" s="319"/>
      <c r="O21" s="320"/>
    </row>
    <row r="22" spans="1:18" s="310" customFormat="1" ht="15" customHeight="1" x14ac:dyDescent="0.25">
      <c r="A22" s="299"/>
      <c r="B22" s="299"/>
      <c r="C22" s="299"/>
      <c r="D22" s="299"/>
      <c r="E22" s="299"/>
      <c r="F22" s="317" t="str">
        <f>IF(H13="Aquacell Core",IF(AND(H20&lt;&gt;"",H21&lt;&gt;""),"Dimensión calculada",IF(H21&lt;&gt;"","Ancho recomendado (m)",IF(H20&lt;&gt;"","Largo Recomendado (m)",""))),IF(AND(H20&lt;&gt;"",H21&lt;&gt;""),"Verificación NG",IF(H21&lt;&gt;"","Ancho recomendado (m)",IF(H20&lt;&gt;"","Largo Recomendado (m)",""))))</f>
        <v/>
      </c>
      <c r="G22" s="318"/>
      <c r="H22" s="188" t="str">
        <f>IF(H13="Aquacell Core",IF(AND(H20&lt;&gt;"",H21&lt;&gt;""),"",IF(H20&lt;&gt;"",_xlfn.CEILING.MATH(I9/(H19*H20*0.95),0.5),IF(H21&lt;&gt;"",_xlfn.CEILING.MATH(I9/(H19*H21*0.95),0.5),""))),IF(AND(H20&lt;&gt;"",H21&lt;&gt;""),IF(ROUND(INT((H20*H21)/(0.6*1.2))-((H20*H21)/(0.6*1.2)),6)=0,"Ok","Verificar"),IF(H20&lt;&gt;"",_xlfn.CEILING.MATH(I9/(H19*H20*0.95),0.6),IF(H21&lt;&gt;"",_xlfn.CEILING.MATH(I9/(H19*H21*0.95),0.6),""))))</f>
        <v/>
      </c>
      <c r="I22" s="321" t="str">
        <f>IF(F22="Verificación NG","Verifica que las dimensiones del tanque Aquacell NG sean correctas.","Dimensión en planta aproximada, calculada a partir de ingresar un valor de altura y largo/ancho.")</f>
        <v>Dimensión en planta aproximada, calculada a partir de ingresar un valor de altura y largo/ancho.</v>
      </c>
      <c r="J22" s="322"/>
      <c r="K22" s="322"/>
      <c r="L22" s="322"/>
      <c r="M22" s="322"/>
      <c r="N22" s="322"/>
      <c r="O22" s="322"/>
    </row>
    <row r="23" spans="1:18" ht="15" customHeight="1" x14ac:dyDescent="0.25">
      <c r="A23" s="299" t="s">
        <v>28</v>
      </c>
      <c r="B23" s="299"/>
      <c r="C23" s="299"/>
      <c r="D23" s="299"/>
      <c r="E23" s="299"/>
      <c r="F23" s="317" t="s">
        <v>36</v>
      </c>
      <c r="G23" s="318"/>
      <c r="H23" s="188" t="str">
        <f>IFERROR(H17+H19,"")</f>
        <v/>
      </c>
      <c r="I23" s="319" t="s">
        <v>3030</v>
      </c>
      <c r="J23" s="319"/>
      <c r="K23" s="319"/>
      <c r="L23" s="319"/>
      <c r="M23" s="319"/>
      <c r="N23" s="319"/>
      <c r="O23" s="320"/>
      <c r="P23" s="242"/>
      <c r="Q23" s="242"/>
      <c r="R23" s="242"/>
    </row>
    <row r="24" spans="1:18" ht="15" customHeight="1" x14ac:dyDescent="0.25">
      <c r="A24" s="299"/>
      <c r="B24" s="299"/>
      <c r="C24" s="299"/>
      <c r="D24" s="299"/>
      <c r="E24" s="299"/>
      <c r="F24" s="317" t="str">
        <f>IF(OR(H13="",H13="Aquacell Core",),"","Capas de celdas extrareforzada")</f>
        <v>Capas de celdas extrareforzada</v>
      </c>
      <c r="G24" s="318"/>
      <c r="H24" s="228"/>
      <c r="I24" s="319" t="str">
        <f>IF(H13="Aquacell Core","","Número de capas de celdas extrareforzadas en caso de ser necesarias para el tanque Aquacell.")</f>
        <v>Número de capas de celdas extrareforzadas en caso de ser necesarias para el tanque Aquacell.</v>
      </c>
      <c r="J24" s="319"/>
      <c r="K24" s="319"/>
      <c r="L24" s="319"/>
      <c r="M24" s="319"/>
      <c r="N24" s="319"/>
      <c r="O24" s="320"/>
      <c r="P24" s="242"/>
      <c r="Q24" s="242"/>
      <c r="R24" s="242"/>
    </row>
    <row r="25" spans="1:18" ht="15" customHeight="1" x14ac:dyDescent="0.25">
      <c r="A25" s="299"/>
      <c r="B25" s="299"/>
      <c r="C25" s="299"/>
      <c r="D25" s="299"/>
      <c r="E25" s="299"/>
      <c r="F25" s="317" t="s">
        <v>37</v>
      </c>
      <c r="G25" s="318"/>
      <c r="H25" s="188" t="str">
        <f>IF(AND(H13&lt;&gt;"",H15&lt;&gt;"",H17&lt;&gt;""),H19*H20*H21,"")</f>
        <v/>
      </c>
      <c r="I25" s="319" t="str">
        <f>IF(H13="Aquacell Core","Volumen total de la estructura",IF(H23&gt;4.4,"Volumen total de la estructura (No se incluyen tapas de fondo).","Volumen total de la estructura (incluye el volumen de la tapa de fondo)."))</f>
        <v>Volumen total de la estructura (No se incluyen tapas de fondo).</v>
      </c>
      <c r="J25" s="319"/>
      <c r="K25" s="319"/>
      <c r="L25" s="319"/>
      <c r="M25" s="319"/>
      <c r="N25" s="319"/>
      <c r="O25" s="320"/>
      <c r="P25" s="242"/>
      <c r="Q25" s="242"/>
      <c r="R25" s="242"/>
    </row>
    <row r="26" spans="1:18" ht="15" customHeight="1" x14ac:dyDescent="0.25">
      <c r="A26" s="299"/>
      <c r="B26" s="299"/>
      <c r="C26" s="299"/>
      <c r="D26" s="299"/>
      <c r="E26" s="299"/>
      <c r="F26" s="317" t="s">
        <v>38</v>
      </c>
      <c r="G26" s="318"/>
      <c r="H26" s="230" t="str">
        <f>IF(AND(H13&lt;&gt;"",H15&lt;&gt;"",H17&lt;&gt;""),IF(H13="Aquacell Core",H25*0.95-(0.015*H20*H21),IF(H13="Aquacell NG",IF(H24=0,H27*0.2736-(0.05*H20*H21),(H18-H24)*(H20*H21)/(1.2*0.6)*0.2304+H24*(H20*H21)/(1.2*0.6)*0.2592-(0.05*H20*H21)),"")),"")</f>
        <v/>
      </c>
      <c r="I26" s="319" t="str">
        <f>IF(H13="Aquacell Core","Volumen de agua que puede almacenar el tanque (95% de volumen útil).","Volumen de agua que puede almacenar el tanque (95% de volumen útil - 90% en celdas extrareforzadas).")</f>
        <v>Volumen de agua que puede almacenar el tanque (95% de volumen útil - 90% en celdas extrareforzadas).</v>
      </c>
      <c r="J26" s="319"/>
      <c r="K26" s="319"/>
      <c r="L26" s="319"/>
      <c r="M26" s="319"/>
      <c r="N26" s="319"/>
      <c r="O26" s="320"/>
      <c r="P26" s="242"/>
      <c r="Q26" s="242"/>
      <c r="R26" s="242"/>
    </row>
    <row r="27" spans="1:18" ht="15" customHeight="1" x14ac:dyDescent="0.25">
      <c r="A27" s="299"/>
      <c r="B27" s="299"/>
      <c r="C27" s="299"/>
      <c r="D27" s="299"/>
      <c r="E27" s="299"/>
      <c r="F27" s="317" t="str">
        <f>IF(H13="","",IF(H13="Aquacell Core","Cantidad de celdas Aquacell","Cantidad de unidades base"))</f>
        <v>Cantidad de unidades base</v>
      </c>
      <c r="G27" s="318"/>
      <c r="H27" s="231" t="str">
        <f>IFERROR(IF(AND(H13&lt;&gt;"",H15&lt;&gt;"",H17&lt;&gt;""),IF(H13="Aquacell Core",ROUNDUP(H25/0.195,0),IF(H13="Aquacell NG",IF(H24="",(H20*H21)/(1.2*0.6)*H18,(H20*H21)/(1.2*0.6)*H18+H24*(H20*H21)/(1.2*0.6)),"")),""),"")</f>
        <v/>
      </c>
      <c r="I27" s="319" t="str">
        <f>IF(H13="","",IF(H13="Aquacell Core","Cantidad de celdas Aquacell Core necesarias para las dimensiones dadas","Cantidad de unidades base de Aquacell NG necesarias para las dimensiones dadas"))</f>
        <v>Cantidad de unidades base de Aquacell NG necesarias para las dimensiones dadas</v>
      </c>
      <c r="J27" s="319"/>
      <c r="K27" s="319"/>
      <c r="L27" s="319"/>
      <c r="M27" s="319"/>
      <c r="N27" s="319"/>
      <c r="O27" s="320"/>
      <c r="P27" s="242"/>
      <c r="Q27" s="242"/>
      <c r="R27" s="242"/>
    </row>
    <row r="28" spans="1:18" ht="15" customHeight="1" x14ac:dyDescent="0.25">
      <c r="A28" s="299"/>
      <c r="B28" s="299"/>
      <c r="C28" s="299"/>
      <c r="D28" s="299"/>
      <c r="E28" s="299"/>
      <c r="F28" s="317" t="str">
        <f>IF(OR(H13="",H13="Aquacell Core"),"","Cantidad de tapas laterales")</f>
        <v>Cantidad de tapas laterales</v>
      </c>
      <c r="G28" s="318"/>
      <c r="H28" s="231" t="str">
        <f>IF(AND(H13&lt;&gt;"",H15&lt;&gt;"",H17&lt;&gt;""),IF(H13="Aquacell Core","",(2*((H18*0.4)*H20)+2*((H18*0.4)*H21))/(0.4*1.2)),"")</f>
        <v/>
      </c>
      <c r="I28" s="319" t="str">
        <f>IF(OR(H13="",H13="Aquacell Core"),"","Cantidad de tapas laterales necesarias para las dimesiones dadas")</f>
        <v>Cantidad de tapas laterales necesarias para las dimesiones dadas</v>
      </c>
      <c r="J28" s="319"/>
      <c r="K28" s="319"/>
      <c r="L28" s="319"/>
      <c r="M28" s="319"/>
      <c r="N28" s="319"/>
      <c r="O28" s="320"/>
      <c r="P28" s="242"/>
      <c r="Q28" s="242"/>
      <c r="R28" s="242"/>
    </row>
    <row r="29" spans="1:18" ht="15" customHeight="1" x14ac:dyDescent="0.25">
      <c r="F29" s="317" t="str">
        <f>IF(OR(H13="",H13="Aquacell Core"),"","Cantidad de tapas de fondo")</f>
        <v>Cantidad de tapas de fondo</v>
      </c>
      <c r="G29" s="318"/>
      <c r="H29" s="231" t="str">
        <f>IF(AND(H13&lt;&gt;"",H15&lt;&gt;"",H17&lt;&gt;""),IF(H13="Aquacell Core","",IF(H24=0,(H20*H21)/(1.2*0.6),"")),"")</f>
        <v/>
      </c>
      <c r="I29" s="319" t="str">
        <f>IF(OR(H13="",H13="Aquacell Core"),"","Cantidad de tapas de fondo necesarias para las dimesiones dadas")</f>
        <v>Cantidad de tapas de fondo necesarias para las dimesiones dadas</v>
      </c>
      <c r="J29" s="319"/>
      <c r="K29" s="319"/>
      <c r="L29" s="319"/>
      <c r="M29" s="319"/>
      <c r="N29" s="319"/>
      <c r="O29" s="320"/>
      <c r="P29" s="242"/>
      <c r="Q29" s="242"/>
      <c r="R29" s="242"/>
    </row>
    <row r="30" spans="1:18" ht="15" customHeight="1" x14ac:dyDescent="0.25">
      <c r="A30" s="229"/>
      <c r="F30" s="128"/>
      <c r="G30" s="128"/>
      <c r="H30" s="128"/>
      <c r="I30" s="133"/>
      <c r="J30" s="133"/>
      <c r="K30" s="133"/>
      <c r="L30" s="133"/>
      <c r="M30" s="133"/>
      <c r="N30" s="128"/>
      <c r="O30" s="128"/>
      <c r="P30" s="242"/>
      <c r="Q30" s="242"/>
      <c r="R30" s="242"/>
    </row>
    <row r="31" spans="1:18" ht="15" customHeight="1" x14ac:dyDescent="0.25">
      <c r="A31" s="229"/>
      <c r="F31" s="344" t="s">
        <v>3063</v>
      </c>
      <c r="G31" s="345"/>
      <c r="H31" s="345"/>
      <c r="I31" s="323" t="s">
        <v>3088</v>
      </c>
      <c r="J31" s="323"/>
      <c r="K31" s="323"/>
      <c r="L31" s="323"/>
      <c r="M31" s="323"/>
      <c r="N31" s="323"/>
      <c r="O31" s="324"/>
      <c r="P31" s="304" t="s">
        <v>3089</v>
      </c>
      <c r="Q31" s="305"/>
      <c r="R31" s="305"/>
    </row>
    <row r="32" spans="1:18" ht="15" customHeight="1" x14ac:dyDescent="0.25">
      <c r="A32" s="229"/>
      <c r="F32" s="348" t="str" cm="1">
        <f t="array" ref="F32">IFERROR(IF(OR(H15="",R32="",R33="",R34="",R35=""),"",IF(AND(OR(H15="Zona Peatonal",H15="Zona Verde"),OR(H16&lt;&gt;0,H16&lt;&gt;"")),"Quitar carga de tráfico",IF(OR(H24=0,H24=""),IF(OR(H15="Zona Peatonal",H15="Zona Verde"),RESISTAQ(H23,'DATOS DEL PROYECTO'!$J$22,H17,0,H13,R34,R35,R32,R33,H19,H24),RESISTAQ(H23,'DATOS DEL PROYECTO'!$J$22,H17,H16,H13,R34,R35,R32,R33,H19,H24)),IF(OR(H15="Zona Peatonal",H15="Zona Verde"),RESISTAQ(H17+(H18-H24)*0.4,'DATOS DEL PROYECTO'!$J$22,H17,0,H13,R34,R35,R32,R33,(H18-H24)*0.4,0),RESISTAQ(H17+(H18-H24)*0.4,'DATOS DEL PROYECTO'!$J$22,H17,H16,H13,R34,R35,R32,R33,(H18-H24)*0.4,0))))),"")</f>
        <v/>
      </c>
      <c r="G32" s="349"/>
      <c r="H32" s="349"/>
      <c r="I32" s="323"/>
      <c r="J32" s="323"/>
      <c r="K32" s="323"/>
      <c r="L32" s="323"/>
      <c r="M32" s="323"/>
      <c r="N32" s="323"/>
      <c r="O32" s="324"/>
      <c r="P32" s="306" t="s">
        <v>3069</v>
      </c>
      <c r="Q32" s="307"/>
      <c r="R32" s="275">
        <v>2170</v>
      </c>
    </row>
    <row r="33" spans="6:18" ht="15" customHeight="1" x14ac:dyDescent="0.25">
      <c r="F33" s="348"/>
      <c r="G33" s="349"/>
      <c r="H33" s="349"/>
      <c r="I33" s="323"/>
      <c r="J33" s="323"/>
      <c r="K33" s="323"/>
      <c r="L33" s="323"/>
      <c r="M33" s="323"/>
      <c r="N33" s="323"/>
      <c r="O33" s="324"/>
      <c r="P33" s="306" t="s">
        <v>3071</v>
      </c>
      <c r="Q33" s="307"/>
      <c r="R33" s="275">
        <v>30</v>
      </c>
    </row>
    <row r="34" spans="6:18" x14ac:dyDescent="0.25">
      <c r="F34" s="128"/>
      <c r="G34" s="128"/>
      <c r="H34" s="128"/>
      <c r="I34" s="133"/>
      <c r="J34" s="133"/>
      <c r="K34" s="133"/>
      <c r="L34" s="133"/>
      <c r="M34" s="133"/>
      <c r="N34" s="128"/>
      <c r="O34" s="128"/>
      <c r="P34" s="306" t="s">
        <v>3070</v>
      </c>
      <c r="Q34" s="307"/>
      <c r="R34" s="275">
        <v>1860</v>
      </c>
    </row>
    <row r="35" spans="6:18" ht="15" customHeight="1" x14ac:dyDescent="0.25">
      <c r="F35" s="344" t="s">
        <v>3072</v>
      </c>
      <c r="G35" s="345"/>
      <c r="H35" s="345"/>
      <c r="I35" s="323" t="s">
        <v>3090</v>
      </c>
      <c r="J35" s="323"/>
      <c r="K35" s="323"/>
      <c r="L35" s="323"/>
      <c r="M35" s="323"/>
      <c r="N35" s="323"/>
      <c r="O35" s="324"/>
      <c r="P35" s="308" t="s">
        <v>3071</v>
      </c>
      <c r="Q35" s="309"/>
      <c r="R35" s="276">
        <v>32</v>
      </c>
    </row>
    <row r="36" spans="6:18" ht="15" customHeight="1" x14ac:dyDescent="0.25">
      <c r="F36" s="348" t="str" cm="1">
        <f t="array" ref="F36">IFERROR(IF(OR(H15="",R32="",R33="",R34="",R35=""),"",IF(H23&gt;8,"Valor Máximo alcanzado",IF(AND(OR(H24=0,H24=""),F32="OK"),"OK",AQNGEXTRAR(H23,'DATOS DEL PROYECTO'!$J$22,H17,H16,H13,R34,R35,R32,R33,H19,H24)))),"")</f>
        <v/>
      </c>
      <c r="G36" s="349"/>
      <c r="H36" s="349"/>
      <c r="I36" s="323"/>
      <c r="J36" s="323"/>
      <c r="K36" s="323"/>
      <c r="L36" s="323"/>
      <c r="M36" s="323"/>
      <c r="N36" s="323"/>
      <c r="O36" s="324"/>
    </row>
    <row r="37" spans="6:18" ht="15" customHeight="1" x14ac:dyDescent="0.25">
      <c r="F37" s="348"/>
      <c r="G37" s="349"/>
      <c r="H37" s="349"/>
      <c r="I37" s="323"/>
      <c r="J37" s="323"/>
      <c r="K37" s="323"/>
      <c r="L37" s="323"/>
      <c r="M37" s="323"/>
      <c r="N37" s="323"/>
      <c r="O37" s="324"/>
    </row>
    <row r="38" spans="6:18" x14ac:dyDescent="0.25">
      <c r="F38" s="128"/>
      <c r="G38" s="128"/>
      <c r="H38" s="128"/>
      <c r="I38" s="133"/>
      <c r="J38" s="133"/>
      <c r="K38" s="133"/>
      <c r="L38" s="133"/>
      <c r="M38" s="133"/>
      <c r="N38" s="128"/>
      <c r="O38" s="232"/>
    </row>
    <row r="39" spans="6:18" ht="15" customHeight="1" x14ac:dyDescent="0.25">
      <c r="F39" s="365" t="s">
        <v>39</v>
      </c>
      <c r="G39" s="365"/>
      <c r="H39" s="366"/>
      <c r="I39" s="321" t="s">
        <v>3005</v>
      </c>
      <c r="J39" s="322"/>
      <c r="K39" s="322"/>
      <c r="L39" s="322"/>
      <c r="M39" s="322"/>
      <c r="N39" s="322"/>
      <c r="O39" s="322"/>
    </row>
    <row r="40" spans="6:18" ht="15" customHeight="1" x14ac:dyDescent="0.25">
      <c r="F40" s="369" t="str">
        <f>IF(H26="Verificar","",IF(OR(H26="",I9=""),"",IF(H26&gt;I9,"OK","Ajustar Dimensiones")))</f>
        <v/>
      </c>
      <c r="G40" s="369"/>
      <c r="H40" s="370"/>
      <c r="I40" s="315"/>
      <c r="J40" s="311"/>
      <c r="K40" s="311"/>
      <c r="L40" s="311"/>
      <c r="M40" s="311"/>
      <c r="N40" s="311"/>
      <c r="O40" s="311"/>
    </row>
    <row r="41" spans="6:18" ht="15" customHeight="1" x14ac:dyDescent="0.25">
      <c r="F41" s="371"/>
      <c r="G41" s="371"/>
      <c r="H41" s="372"/>
      <c r="I41" s="367"/>
      <c r="J41" s="368"/>
      <c r="K41" s="368"/>
      <c r="L41" s="368"/>
      <c r="M41" s="368"/>
      <c r="N41" s="368"/>
      <c r="O41" s="368"/>
    </row>
    <row r="42" spans="6:18" ht="15" customHeight="1" x14ac:dyDescent="0.25">
      <c r="F42" s="99"/>
      <c r="G42" s="99"/>
      <c r="H42" s="99"/>
      <c r="I42" s="99"/>
      <c r="J42" s="99"/>
      <c r="K42" s="99"/>
      <c r="L42" s="99"/>
      <c r="M42" s="99"/>
      <c r="N42" s="99"/>
      <c r="O42" s="99"/>
    </row>
    <row r="43" spans="6:18" ht="15" customHeight="1" x14ac:dyDescent="0.25">
      <c r="F43" s="99"/>
      <c r="G43" s="99"/>
      <c r="H43" s="99"/>
      <c r="I43" s="99"/>
      <c r="J43" s="99"/>
      <c r="K43" s="99"/>
      <c r="L43" s="99"/>
      <c r="M43" s="99"/>
      <c r="N43" s="99"/>
      <c r="O43" s="99"/>
    </row>
    <row r="44" spans="6:18" ht="15" customHeight="1" x14ac:dyDescent="0.25">
      <c r="F44" s="99"/>
      <c r="G44" s="99"/>
      <c r="H44" s="99"/>
      <c r="I44" s="99"/>
      <c r="J44" s="99"/>
      <c r="K44" s="99"/>
      <c r="L44" s="99"/>
      <c r="M44" s="99"/>
      <c r="N44" s="99"/>
      <c r="O44" s="99"/>
    </row>
    <row r="45" spans="6:18" ht="15" customHeight="1" x14ac:dyDescent="0.25">
      <c r="F45" s="314" t="s">
        <v>40</v>
      </c>
      <c r="G45" s="314"/>
      <c r="H45" s="314"/>
      <c r="I45" s="314"/>
      <c r="J45" s="314"/>
      <c r="K45" s="314"/>
      <c r="L45" s="314"/>
      <c r="M45" s="314"/>
      <c r="N45" s="128"/>
      <c r="O45" s="128"/>
    </row>
    <row r="46" spans="6:18" ht="15" customHeight="1" x14ac:dyDescent="0.25">
      <c r="F46" s="316"/>
      <c r="G46" s="316"/>
      <c r="H46" s="316"/>
      <c r="I46" s="316"/>
      <c r="J46" s="316"/>
      <c r="K46" s="316"/>
      <c r="L46" s="316"/>
      <c r="M46" s="316"/>
      <c r="N46" s="128"/>
      <c r="O46" s="128"/>
    </row>
    <row r="47" spans="6:18" ht="15" customHeight="1" x14ac:dyDescent="0.25">
      <c r="F47" s="359" t="s">
        <v>41</v>
      </c>
      <c r="G47" s="359" t="s">
        <v>42</v>
      </c>
      <c r="H47" s="359" t="s">
        <v>43</v>
      </c>
      <c r="I47" s="359" t="s">
        <v>44</v>
      </c>
      <c r="J47" s="359" t="s">
        <v>45</v>
      </c>
      <c r="K47" s="359" t="s">
        <v>46</v>
      </c>
      <c r="L47" s="359" t="s">
        <v>2771</v>
      </c>
      <c r="M47" s="359" t="s">
        <v>2770</v>
      </c>
      <c r="N47" s="187"/>
      <c r="O47" s="187"/>
    </row>
    <row r="48" spans="6:18" ht="15" customHeight="1" x14ac:dyDescent="0.25">
      <c r="F48" s="360"/>
      <c r="G48" s="360"/>
      <c r="H48" s="360"/>
      <c r="I48" s="360"/>
      <c r="J48" s="360"/>
      <c r="K48" s="360"/>
      <c r="L48" s="360"/>
      <c r="M48" s="360"/>
      <c r="N48" s="187"/>
      <c r="O48" s="187"/>
    </row>
    <row r="49" spans="6:15" ht="15" customHeight="1" x14ac:dyDescent="0.25">
      <c r="F49" s="361"/>
      <c r="G49" s="361"/>
      <c r="H49" s="361"/>
      <c r="I49" s="361"/>
      <c r="J49" s="361"/>
      <c r="K49" s="361"/>
      <c r="L49" s="361"/>
      <c r="M49" s="361"/>
      <c r="N49" s="187"/>
      <c r="O49" s="187"/>
    </row>
    <row r="50" spans="6:15" ht="15" customHeight="1" x14ac:dyDescent="0.25">
      <c r="F50" s="176"/>
      <c r="G50" s="177"/>
      <c r="H50" s="177"/>
      <c r="I50" s="177"/>
      <c r="J50" s="233" t="str">
        <f>IFERROR(IF('DATOS DEL PROYECTO'!$I$38="Si",CALCULOS!L7,""),"")</f>
        <v/>
      </c>
      <c r="K50" s="233" t="str">
        <f>IFERROR(IF('DATOS DEL PROYECTO'!$I$38="Si",CALCULOS!K7,""),"")</f>
        <v/>
      </c>
      <c r="L50" s="234" t="str">
        <f t="shared" ref="L50:L55" si="0">IFERROR(ROUNDUP(F50/J50,0),"")</f>
        <v/>
      </c>
      <c r="M50" s="234" t="str">
        <f t="shared" ref="M50:M55" si="1">IFERROR(ROUNDUP((I50*L50)/6,0),"")</f>
        <v/>
      </c>
      <c r="N50" s="187"/>
      <c r="O50" s="187"/>
    </row>
    <row r="51" spans="6:15" ht="15" customHeight="1" x14ac:dyDescent="0.25">
      <c r="F51" s="176"/>
      <c r="G51" s="177"/>
      <c r="H51" s="177"/>
      <c r="I51" s="177"/>
      <c r="J51" s="233" t="str">
        <f>IFERROR(IF('DATOS DEL PROYECTO'!$I$38="Si",CALCULOS!L8,""),"")</f>
        <v/>
      </c>
      <c r="K51" s="233" t="str">
        <f>IFERROR(IF('DATOS DEL PROYECTO'!$I$38="Si",CALCULOS!K8,""),"")</f>
        <v/>
      </c>
      <c r="L51" s="234" t="str">
        <f t="shared" si="0"/>
        <v/>
      </c>
      <c r="M51" s="234" t="str">
        <f t="shared" si="1"/>
        <v/>
      </c>
      <c r="N51" s="187"/>
      <c r="O51" s="187"/>
    </row>
    <row r="52" spans="6:15" ht="15" customHeight="1" x14ac:dyDescent="0.25">
      <c r="F52" s="176"/>
      <c r="G52" s="177"/>
      <c r="H52" s="177"/>
      <c r="I52" s="177"/>
      <c r="J52" s="233" t="str">
        <f>IFERROR(IF('DATOS DEL PROYECTO'!$I$38="Si",CALCULOS!L9,""),"")</f>
        <v/>
      </c>
      <c r="K52" s="233" t="str">
        <f>IFERROR(IF('DATOS DEL PROYECTO'!$I$38="Si",CALCULOS!K9,""),"")</f>
        <v/>
      </c>
      <c r="L52" s="234" t="str">
        <f t="shared" si="0"/>
        <v/>
      </c>
      <c r="M52" s="234" t="str">
        <f t="shared" si="1"/>
        <v/>
      </c>
      <c r="N52" s="187"/>
      <c r="O52" s="187"/>
    </row>
    <row r="53" spans="6:15" ht="15" customHeight="1" x14ac:dyDescent="0.25">
      <c r="F53" s="176"/>
      <c r="G53" s="177"/>
      <c r="H53" s="177"/>
      <c r="I53" s="177"/>
      <c r="J53" s="233" t="str">
        <f>IFERROR(IF('DATOS DEL PROYECTO'!$I$38="Si",CALCULOS!L10,""),"")</f>
        <v/>
      </c>
      <c r="K53" s="233" t="str">
        <f>IFERROR(IF('DATOS DEL PROYECTO'!$I$38="Si",CALCULOS!K10,""),"")</f>
        <v/>
      </c>
      <c r="L53" s="234" t="str">
        <f t="shared" si="0"/>
        <v/>
      </c>
      <c r="M53" s="234" t="str">
        <f t="shared" si="1"/>
        <v/>
      </c>
      <c r="N53" s="187"/>
      <c r="O53" s="187"/>
    </row>
    <row r="54" spans="6:15" ht="15" customHeight="1" x14ac:dyDescent="0.25">
      <c r="F54" s="176"/>
      <c r="G54" s="177"/>
      <c r="H54" s="177"/>
      <c r="I54" s="177"/>
      <c r="J54" s="233" t="str">
        <f>IFERROR(IF('DATOS DEL PROYECTO'!$I$38="Si",CALCULOS!L11,""),"")</f>
        <v/>
      </c>
      <c r="K54" s="233" t="str">
        <f>IFERROR(IF('DATOS DEL PROYECTO'!$I$38="Si",CALCULOS!K11,""),"")</f>
        <v/>
      </c>
      <c r="L54" s="234" t="str">
        <f t="shared" si="0"/>
        <v/>
      </c>
      <c r="M54" s="234" t="str">
        <f t="shared" si="1"/>
        <v/>
      </c>
      <c r="N54" s="187"/>
      <c r="O54" s="187"/>
    </row>
    <row r="55" spans="6:15" ht="15" customHeight="1" x14ac:dyDescent="0.25">
      <c r="F55" s="176"/>
      <c r="G55" s="177"/>
      <c r="H55" s="177"/>
      <c r="I55" s="177"/>
      <c r="J55" s="233" t="str">
        <f>IFERROR(IF('DATOS DEL PROYECTO'!$I$38="Si",CALCULOS!L12,""),"")</f>
        <v/>
      </c>
      <c r="K55" s="233" t="str">
        <f>IFERROR(IF('DATOS DEL PROYECTO'!$I$38="Si",CALCULOS!K12,""),"")</f>
        <v/>
      </c>
      <c r="L55" s="234" t="str">
        <f t="shared" si="0"/>
        <v/>
      </c>
      <c r="M55" s="234" t="str">
        <f t="shared" si="1"/>
        <v/>
      </c>
      <c r="N55" s="187"/>
      <c r="O55" s="187"/>
    </row>
    <row r="56" spans="6:15" ht="15" customHeight="1" x14ac:dyDescent="0.25">
      <c r="F56" s="133"/>
      <c r="G56" s="133"/>
      <c r="H56" s="133"/>
      <c r="I56" s="133"/>
      <c r="J56" s="133"/>
      <c r="K56" s="133"/>
      <c r="L56" s="187"/>
      <c r="M56" s="187"/>
      <c r="N56" s="187"/>
      <c r="O56" s="187"/>
    </row>
    <row r="57" spans="6:15" ht="15" customHeight="1" x14ac:dyDescent="0.25">
      <c r="F57" s="314" t="s">
        <v>49</v>
      </c>
      <c r="G57" s="314"/>
      <c r="H57" s="314"/>
      <c r="I57" s="314"/>
      <c r="J57" s="314"/>
      <c r="K57" s="314"/>
      <c r="L57" s="314"/>
      <c r="M57" s="314"/>
      <c r="N57" s="128"/>
      <c r="O57" s="128"/>
    </row>
    <row r="58" spans="6:15" ht="15" customHeight="1" x14ac:dyDescent="0.25">
      <c r="F58" s="314"/>
      <c r="G58" s="314"/>
      <c r="H58" s="314"/>
      <c r="I58" s="314"/>
      <c r="J58" s="314"/>
      <c r="K58" s="314"/>
      <c r="L58" s="314"/>
      <c r="M58" s="314"/>
      <c r="N58" s="128"/>
      <c r="O58" s="128"/>
    </row>
    <row r="59" spans="6:15" ht="15" customHeight="1" x14ac:dyDescent="0.25">
      <c r="F59" s="359" t="s">
        <v>50</v>
      </c>
      <c r="G59" s="359" t="s">
        <v>42</v>
      </c>
      <c r="H59" s="359" t="s">
        <v>43</v>
      </c>
      <c r="I59" s="359" t="s">
        <v>44</v>
      </c>
      <c r="J59" s="359" t="s">
        <v>45</v>
      </c>
      <c r="K59" s="359" t="s">
        <v>46</v>
      </c>
      <c r="L59" s="315" t="s">
        <v>3001</v>
      </c>
      <c r="M59" s="311"/>
      <c r="N59" s="311"/>
      <c r="O59" s="311"/>
    </row>
    <row r="60" spans="6:15" ht="15" customHeight="1" x14ac:dyDescent="0.25">
      <c r="F60" s="360"/>
      <c r="G60" s="360"/>
      <c r="H60" s="360"/>
      <c r="I60" s="360"/>
      <c r="J60" s="360"/>
      <c r="K60" s="360"/>
      <c r="L60" s="315"/>
      <c r="M60" s="311"/>
      <c r="N60" s="311"/>
      <c r="O60" s="311"/>
    </row>
    <row r="61" spans="6:15" ht="15" customHeight="1" x14ac:dyDescent="0.25">
      <c r="F61" s="361"/>
      <c r="G61" s="361"/>
      <c r="H61" s="361"/>
      <c r="I61" s="361"/>
      <c r="J61" s="361"/>
      <c r="K61" s="361"/>
      <c r="L61" s="315"/>
      <c r="M61" s="311"/>
      <c r="N61" s="311"/>
      <c r="O61" s="311"/>
    </row>
    <row r="62" spans="6:15" ht="15" customHeight="1" x14ac:dyDescent="0.25">
      <c r="F62" s="176">
        <f>SUM(F50:F55)</f>
        <v>0</v>
      </c>
      <c r="G62" s="177"/>
      <c r="H62" s="177"/>
      <c r="I62" s="177"/>
      <c r="J62" s="233" t="str">
        <f>IFERROR(IF('DATOS DEL PROYECTO'!$I$38="Si",CALCULOS!L13,""),"")</f>
        <v/>
      </c>
      <c r="K62" s="233" t="str">
        <f>IFERROR(IF('DATOS DEL PROYECTO'!$I$38="Si",CALCULOS!K13,""),"")</f>
        <v/>
      </c>
      <c r="L62" s="315"/>
      <c r="M62" s="311"/>
      <c r="N62" s="311"/>
      <c r="O62" s="311"/>
    </row>
    <row r="63" spans="6:15" ht="15" customHeight="1" x14ac:dyDescent="0.25">
      <c r="F63" s="277"/>
      <c r="G63" s="277"/>
      <c r="H63" s="277"/>
      <c r="I63" s="277"/>
      <c r="J63" s="133"/>
      <c r="K63" s="133"/>
      <c r="L63" s="311" t="s">
        <v>3002</v>
      </c>
      <c r="M63" s="311"/>
      <c r="N63" s="311"/>
      <c r="O63" s="311"/>
    </row>
    <row r="64" spans="6:15" ht="15" customHeight="1" x14ac:dyDescent="0.25">
      <c r="F64" s="362" t="s">
        <v>47</v>
      </c>
      <c r="G64" s="363"/>
      <c r="H64" s="363"/>
      <c r="I64" s="364"/>
      <c r="J64" s="235" t="str">
        <f>IFERROR(ROUNDUP(F62/J62,0),"")</f>
        <v/>
      </c>
      <c r="K64" s="133"/>
      <c r="L64" s="311"/>
      <c r="M64" s="311"/>
      <c r="N64" s="311"/>
      <c r="O64" s="311"/>
    </row>
    <row r="65" spans="1:18" ht="15" customHeight="1" x14ac:dyDescent="0.25">
      <c r="A65" s="229"/>
      <c r="F65" s="362" t="s">
        <v>48</v>
      </c>
      <c r="G65" s="363"/>
      <c r="H65" s="363"/>
      <c r="I65" s="364"/>
      <c r="J65" s="235" t="str">
        <f>IFERROR(ROUNDUP((I62*J64)/6,0),"")</f>
        <v/>
      </c>
      <c r="K65" s="133"/>
      <c r="L65" s="311"/>
      <c r="M65" s="311"/>
      <c r="N65" s="311"/>
      <c r="O65" s="311"/>
    </row>
    <row r="66" spans="1:18" ht="15" customHeight="1" x14ac:dyDescent="0.25">
      <c r="A66" s="229"/>
      <c r="F66" s="133"/>
      <c r="G66" s="133"/>
      <c r="H66" s="133"/>
      <c r="I66" s="133"/>
      <c r="J66" s="133"/>
      <c r="K66" s="133"/>
      <c r="L66" s="311"/>
      <c r="M66" s="311"/>
      <c r="N66" s="311"/>
      <c r="O66" s="311"/>
    </row>
    <row r="67" spans="1:18" ht="15" customHeight="1" x14ac:dyDescent="0.25">
      <c r="A67" s="229"/>
      <c r="F67" s="314" t="s">
        <v>51</v>
      </c>
      <c r="G67" s="314"/>
      <c r="H67" s="314"/>
      <c r="I67" s="314"/>
      <c r="J67" s="314"/>
      <c r="K67" s="314"/>
      <c r="L67" s="314"/>
      <c r="M67" s="314"/>
      <c r="N67" s="128"/>
      <c r="O67" s="128"/>
    </row>
    <row r="68" spans="1:18" ht="15" customHeight="1" x14ac:dyDescent="0.25">
      <c r="A68" s="229"/>
      <c r="F68" s="314"/>
      <c r="G68" s="314"/>
      <c r="H68" s="314"/>
      <c r="I68" s="314"/>
      <c r="J68" s="314"/>
      <c r="K68" s="314"/>
      <c r="L68" s="314"/>
      <c r="M68" s="314"/>
      <c r="N68" s="128"/>
      <c r="O68" s="128"/>
    </row>
    <row r="69" spans="1:18" ht="15" customHeight="1" x14ac:dyDescent="0.25">
      <c r="A69" s="229">
        <v>600</v>
      </c>
      <c r="F69" s="359" t="s">
        <v>52</v>
      </c>
      <c r="G69" s="359" t="s">
        <v>42</v>
      </c>
      <c r="H69" s="359" t="s">
        <v>43</v>
      </c>
      <c r="I69" s="359" t="s">
        <v>44</v>
      </c>
      <c r="J69" s="359" t="s">
        <v>2766</v>
      </c>
      <c r="K69" s="133"/>
      <c r="L69" s="311" t="s">
        <v>3003</v>
      </c>
      <c r="M69" s="311"/>
      <c r="N69" s="311"/>
      <c r="O69" s="311"/>
    </row>
    <row r="70" spans="1:18" ht="15" customHeight="1" x14ac:dyDescent="0.25">
      <c r="A70" s="229">
        <v>1000</v>
      </c>
      <c r="F70" s="360"/>
      <c r="G70" s="360"/>
      <c r="H70" s="360"/>
      <c r="I70" s="360"/>
      <c r="J70" s="360"/>
      <c r="K70" s="133"/>
      <c r="L70" s="311"/>
      <c r="M70" s="311"/>
      <c r="N70" s="311"/>
      <c r="O70" s="311"/>
    </row>
    <row r="71" spans="1:18" ht="15" customHeight="1" x14ac:dyDescent="0.25">
      <c r="A71" s="229"/>
      <c r="F71" s="361"/>
      <c r="G71" s="361"/>
      <c r="H71" s="361"/>
      <c r="I71" s="361"/>
      <c r="J71" s="361"/>
      <c r="K71" s="133"/>
      <c r="L71" s="311"/>
      <c r="M71" s="311"/>
      <c r="N71" s="311"/>
      <c r="O71" s="311"/>
    </row>
    <row r="72" spans="1:18" ht="15" customHeight="1" x14ac:dyDescent="0.25">
      <c r="A72" s="229"/>
      <c r="F72" s="233" t="str">
        <f>'TIEMPO DE VACIADO'!J28</f>
        <v/>
      </c>
      <c r="G72" s="177"/>
      <c r="H72" s="177"/>
      <c r="I72" s="177"/>
      <c r="J72" s="177"/>
      <c r="K72" s="240"/>
      <c r="L72" s="311"/>
      <c r="M72" s="311"/>
      <c r="N72" s="311"/>
      <c r="O72" s="311"/>
    </row>
    <row r="73" spans="1:18" ht="15" customHeight="1" x14ac:dyDescent="0.25">
      <c r="F73" s="133"/>
      <c r="G73" s="133"/>
      <c r="H73" s="133"/>
      <c r="I73" s="133"/>
      <c r="J73" s="133"/>
      <c r="K73" s="133"/>
      <c r="L73" s="311" t="s">
        <v>3031</v>
      </c>
      <c r="M73" s="311"/>
      <c r="N73" s="311"/>
      <c r="O73" s="311"/>
    </row>
    <row r="74" spans="1:18" ht="15" customHeight="1" x14ac:dyDescent="0.25">
      <c r="F74" s="362" t="s">
        <v>48</v>
      </c>
      <c r="G74" s="363"/>
      <c r="H74" s="363"/>
      <c r="I74" s="364"/>
      <c r="J74" s="235">
        <f>IFERROR(ROUNDUP((I72*J72)/6,0),"")</f>
        <v>0</v>
      </c>
      <c r="K74" s="133"/>
      <c r="L74" s="311"/>
      <c r="M74" s="311"/>
      <c r="N74" s="311"/>
      <c r="O74" s="311"/>
    </row>
    <row r="75" spans="1:18" ht="15" customHeight="1" x14ac:dyDescent="0.25">
      <c r="F75" s="133"/>
      <c r="G75" s="133"/>
      <c r="H75" s="133"/>
      <c r="I75" s="133"/>
      <c r="J75" s="133"/>
      <c r="K75" s="133"/>
      <c r="L75" s="311"/>
      <c r="M75" s="311"/>
      <c r="N75" s="311"/>
      <c r="O75" s="311"/>
    </row>
    <row r="76" spans="1:18" ht="15" customHeight="1" x14ac:dyDescent="0.25">
      <c r="F76" s="133"/>
      <c r="G76" s="133"/>
      <c r="H76" s="133"/>
      <c r="I76" s="133"/>
      <c r="J76" s="133"/>
      <c r="K76" s="133"/>
      <c r="L76" s="311"/>
      <c r="M76" s="311"/>
      <c r="N76" s="311"/>
      <c r="O76" s="311"/>
    </row>
    <row r="77" spans="1:18" s="128" customFormat="1" ht="15" customHeight="1" x14ac:dyDescent="0.25">
      <c r="A77" s="120"/>
      <c r="B77" s="120"/>
      <c r="C77" s="120"/>
      <c r="D77" s="120"/>
      <c r="E77" s="120"/>
      <c r="F77" s="150"/>
      <c r="G77" s="150"/>
      <c r="H77" s="150"/>
      <c r="I77" s="150"/>
      <c r="J77" s="150"/>
      <c r="K77" s="150"/>
      <c r="L77" s="150"/>
      <c r="M77" s="150"/>
      <c r="N77" s="99"/>
      <c r="O77" s="99"/>
      <c r="P77" s="120"/>
      <c r="Q77" s="120"/>
      <c r="R77" s="120"/>
    </row>
    <row r="78" spans="1:18" s="128" customFormat="1" ht="15" customHeight="1" x14ac:dyDescent="0.25">
      <c r="A78" s="120"/>
      <c r="B78" s="120"/>
      <c r="C78" s="120"/>
      <c r="D78" s="120"/>
      <c r="E78" s="120"/>
      <c r="F78" s="150"/>
      <c r="G78" s="150"/>
      <c r="H78" s="150"/>
      <c r="I78" s="150"/>
      <c r="J78" s="150"/>
      <c r="K78" s="150"/>
      <c r="L78" s="150"/>
      <c r="M78" s="150"/>
      <c r="N78" s="99"/>
      <c r="O78" s="99"/>
      <c r="P78" s="120"/>
      <c r="Q78" s="120"/>
      <c r="R78" s="120"/>
    </row>
    <row r="79" spans="1:18" s="128" customFormat="1" ht="15" customHeight="1" x14ac:dyDescent="0.25">
      <c r="A79" s="120"/>
      <c r="B79" s="120"/>
      <c r="C79" s="120"/>
      <c r="D79" s="120"/>
      <c r="E79" s="120"/>
      <c r="F79" s="150"/>
      <c r="G79" s="150"/>
      <c r="H79" s="150"/>
      <c r="I79" s="150"/>
      <c r="J79" s="150"/>
      <c r="K79" s="150"/>
      <c r="L79" s="150"/>
      <c r="M79" s="150"/>
      <c r="N79" s="99"/>
      <c r="O79" s="99"/>
      <c r="P79" s="120"/>
      <c r="Q79" s="120"/>
      <c r="R79" s="120"/>
    </row>
    <row r="80" spans="1:18" s="128" customFormat="1" ht="15" customHeight="1" x14ac:dyDescent="0.25">
      <c r="A80" s="120"/>
      <c r="B80" s="120"/>
      <c r="C80" s="120"/>
      <c r="D80" s="120"/>
      <c r="E80" s="120"/>
      <c r="P80" s="120"/>
      <c r="Q80" s="120"/>
      <c r="R80" s="120"/>
    </row>
    <row r="81" spans="1:18" s="128" customFormat="1" ht="15" customHeight="1" x14ac:dyDescent="0.25">
      <c r="A81" s="120"/>
      <c r="B81" s="120"/>
      <c r="C81" s="120"/>
      <c r="D81" s="120"/>
      <c r="E81" s="120"/>
      <c r="F81" s="314" t="s">
        <v>53</v>
      </c>
      <c r="G81" s="314"/>
      <c r="H81" s="314"/>
      <c r="I81" s="314"/>
      <c r="J81" s="314"/>
      <c r="K81" s="314"/>
      <c r="L81" s="314"/>
      <c r="M81" s="337" t="s">
        <v>54</v>
      </c>
      <c r="N81" s="337"/>
      <c r="P81" s="120"/>
      <c r="Q81" s="120"/>
      <c r="R81" s="120"/>
    </row>
    <row r="82" spans="1:18" s="128" customFormat="1" ht="15" customHeight="1" x14ac:dyDescent="0.25">
      <c r="A82" s="120"/>
      <c r="B82" s="120"/>
      <c r="C82" s="120"/>
      <c r="D82" s="120"/>
      <c r="E82" s="120"/>
      <c r="F82" s="314"/>
      <c r="G82" s="314"/>
      <c r="H82" s="314"/>
      <c r="I82" s="314"/>
      <c r="J82" s="314"/>
      <c r="K82" s="314"/>
      <c r="L82" s="314"/>
      <c r="M82" s="337"/>
      <c r="N82" s="337"/>
      <c r="P82" s="120"/>
      <c r="Q82" s="120"/>
      <c r="R82" s="120"/>
    </row>
    <row r="83" spans="1:18" s="128" customFormat="1" ht="15" customHeight="1" x14ac:dyDescent="0.25">
      <c r="A83" s="120"/>
      <c r="B83" s="120"/>
      <c r="C83" s="120"/>
      <c r="D83" s="120"/>
      <c r="E83" s="120"/>
      <c r="F83" s="335" t="s">
        <v>55</v>
      </c>
      <c r="G83" s="335"/>
      <c r="H83" s="206"/>
      <c r="I83" s="336" t="s">
        <v>3008</v>
      </c>
      <c r="J83" s="336"/>
      <c r="K83" s="336"/>
      <c r="L83" s="336"/>
      <c r="M83" s="336"/>
      <c r="N83" s="336"/>
      <c r="O83" s="336"/>
      <c r="P83" s="120"/>
      <c r="Q83" s="120"/>
      <c r="R83" s="120"/>
    </row>
    <row r="84" spans="1:18" s="128" customFormat="1" ht="15" customHeight="1" x14ac:dyDescent="0.25">
      <c r="A84" s="120"/>
      <c r="B84" s="120"/>
      <c r="C84" s="120"/>
      <c r="D84" s="120"/>
      <c r="E84" s="120"/>
      <c r="F84" s="335" t="s">
        <v>56</v>
      </c>
      <c r="G84" s="335"/>
      <c r="H84" s="206"/>
      <c r="I84" s="336" t="s">
        <v>57</v>
      </c>
      <c r="J84" s="336"/>
      <c r="K84" s="336"/>
      <c r="L84" s="336"/>
      <c r="M84" s="336"/>
      <c r="N84" s="336"/>
      <c r="O84" s="336"/>
      <c r="P84" s="120"/>
      <c r="Q84" s="120"/>
      <c r="R84" s="120"/>
    </row>
    <row r="85" spans="1:18" s="128" customFormat="1" ht="15" customHeight="1" x14ac:dyDescent="0.25">
      <c r="A85" s="120"/>
      <c r="B85" s="120"/>
      <c r="C85" s="120"/>
      <c r="D85" s="120"/>
      <c r="E85" s="120"/>
      <c r="F85" s="335" t="s">
        <v>58</v>
      </c>
      <c r="G85" s="335"/>
      <c r="H85" s="206"/>
      <c r="I85" s="336" t="s">
        <v>59</v>
      </c>
      <c r="J85" s="336"/>
      <c r="K85" s="336"/>
      <c r="L85" s="336"/>
      <c r="M85" s="336"/>
      <c r="N85" s="336"/>
      <c r="O85" s="336"/>
      <c r="P85" s="120"/>
      <c r="Q85" s="120"/>
      <c r="R85" s="120"/>
    </row>
    <row r="86" spans="1:18" s="128" customFormat="1" ht="15" customHeight="1" x14ac:dyDescent="0.25">
      <c r="A86" s="120"/>
      <c r="B86" s="120"/>
      <c r="C86" s="120"/>
      <c r="D86" s="120"/>
      <c r="E86" s="120"/>
      <c r="F86" s="335" t="s">
        <v>60</v>
      </c>
      <c r="G86" s="335"/>
      <c r="H86" s="206"/>
      <c r="I86" s="336" t="s">
        <v>3007</v>
      </c>
      <c r="J86" s="336"/>
      <c r="K86" s="336"/>
      <c r="L86" s="336"/>
      <c r="M86" s="336"/>
      <c r="N86" s="336"/>
      <c r="O86" s="336"/>
      <c r="P86" s="120"/>
      <c r="Q86" s="120"/>
      <c r="R86" s="120"/>
    </row>
    <row r="87" spans="1:18" s="128" customFormat="1" ht="15" customHeight="1" x14ac:dyDescent="0.25">
      <c r="A87" s="120"/>
      <c r="B87" s="120"/>
      <c r="C87" s="120"/>
      <c r="D87" s="120"/>
      <c r="E87" s="120"/>
      <c r="F87" s="133"/>
      <c r="I87" s="133"/>
      <c r="J87" s="133"/>
      <c r="K87" s="133"/>
      <c r="L87" s="133"/>
      <c r="M87" s="133"/>
      <c r="P87" s="120"/>
      <c r="Q87" s="120"/>
      <c r="R87" s="120"/>
    </row>
    <row r="88" spans="1:18" s="128" customFormat="1" ht="15" customHeight="1" x14ac:dyDescent="0.25">
      <c r="A88" s="120"/>
      <c r="B88" s="120"/>
      <c r="C88" s="120"/>
      <c r="D88" s="120"/>
      <c r="E88" s="120"/>
      <c r="F88" s="314" t="s">
        <v>61</v>
      </c>
      <c r="G88" s="314"/>
      <c r="H88" s="314"/>
      <c r="I88" s="314"/>
      <c r="J88" s="314"/>
      <c r="K88" s="314"/>
      <c r="L88" s="314"/>
      <c r="M88" s="337" t="s">
        <v>54</v>
      </c>
      <c r="N88" s="337"/>
      <c r="P88" s="120"/>
      <c r="Q88" s="120"/>
      <c r="R88" s="120"/>
    </row>
    <row r="89" spans="1:18" s="128" customFormat="1" ht="15" customHeight="1" x14ac:dyDescent="0.25">
      <c r="A89" s="120"/>
      <c r="B89" s="120"/>
      <c r="C89" s="120"/>
      <c r="D89" s="120"/>
      <c r="E89" s="120"/>
      <c r="F89" s="314"/>
      <c r="G89" s="314"/>
      <c r="H89" s="314"/>
      <c r="I89" s="314"/>
      <c r="J89" s="314"/>
      <c r="K89" s="314"/>
      <c r="L89" s="314"/>
      <c r="M89" s="337"/>
      <c r="N89" s="337"/>
      <c r="P89" s="120"/>
      <c r="Q89" s="120"/>
      <c r="R89" s="120"/>
    </row>
    <row r="90" spans="1:18" s="128" customFormat="1" ht="15" customHeight="1" x14ac:dyDescent="0.25">
      <c r="A90" s="120"/>
      <c r="B90" s="120"/>
      <c r="C90" s="120"/>
      <c r="D90" s="120"/>
      <c r="E90" s="120"/>
      <c r="F90" s="335" t="s">
        <v>55</v>
      </c>
      <c r="G90" s="335"/>
      <c r="H90" s="206"/>
      <c r="I90" s="336" t="s">
        <v>3006</v>
      </c>
      <c r="J90" s="336"/>
      <c r="K90" s="336"/>
      <c r="L90" s="336"/>
      <c r="M90" s="336"/>
      <c r="N90" s="336"/>
      <c r="O90" s="336"/>
      <c r="P90" s="120"/>
      <c r="Q90" s="120"/>
      <c r="R90" s="120"/>
    </row>
    <row r="91" spans="1:18" s="128" customFormat="1" ht="15" customHeight="1" x14ac:dyDescent="0.25">
      <c r="A91" s="120"/>
      <c r="B91" s="120"/>
      <c r="C91" s="120"/>
      <c r="D91" s="120"/>
      <c r="E91" s="120"/>
      <c r="F91" s="335" t="s">
        <v>56</v>
      </c>
      <c r="G91" s="335"/>
      <c r="H91" s="206"/>
      <c r="I91" s="336" t="s">
        <v>57</v>
      </c>
      <c r="J91" s="336"/>
      <c r="K91" s="336"/>
      <c r="L91" s="336"/>
      <c r="M91" s="336"/>
      <c r="N91" s="336"/>
      <c r="O91" s="336"/>
      <c r="P91" s="120"/>
      <c r="Q91" s="120"/>
      <c r="R91" s="120"/>
    </row>
    <row r="92" spans="1:18" s="128" customFormat="1" ht="15" customHeight="1" x14ac:dyDescent="0.25">
      <c r="A92" s="120"/>
      <c r="B92" s="120"/>
      <c r="C92" s="120"/>
      <c r="D92" s="120"/>
      <c r="E92" s="120"/>
      <c r="F92" s="335" t="s">
        <v>58</v>
      </c>
      <c r="G92" s="335"/>
      <c r="H92" s="206"/>
      <c r="I92" s="336" t="s">
        <v>59</v>
      </c>
      <c r="J92" s="336"/>
      <c r="K92" s="336"/>
      <c r="L92" s="336"/>
      <c r="M92" s="336"/>
      <c r="N92" s="336"/>
      <c r="O92" s="336"/>
      <c r="P92" s="120"/>
      <c r="Q92" s="120"/>
      <c r="R92" s="120"/>
    </row>
    <row r="93" spans="1:18" s="128" customFormat="1" ht="15" customHeight="1" x14ac:dyDescent="0.25">
      <c r="A93" s="120"/>
      <c r="B93" s="120"/>
      <c r="C93" s="120"/>
      <c r="D93" s="120"/>
      <c r="E93" s="120"/>
      <c r="F93" s="335" t="s">
        <v>60</v>
      </c>
      <c r="G93" s="335"/>
      <c r="H93" s="206"/>
      <c r="I93" s="336" t="s">
        <v>3007</v>
      </c>
      <c r="J93" s="336"/>
      <c r="K93" s="336"/>
      <c r="L93" s="336"/>
      <c r="M93" s="336"/>
      <c r="N93" s="336"/>
      <c r="O93" s="336"/>
      <c r="P93" s="120"/>
      <c r="Q93" s="120"/>
      <c r="R93" s="120"/>
    </row>
    <row r="94" spans="1:18" s="128" customFormat="1" ht="15" customHeight="1" x14ac:dyDescent="0.25">
      <c r="A94" s="120"/>
      <c r="B94" s="120"/>
      <c r="C94" s="120"/>
      <c r="D94" s="120"/>
      <c r="E94" s="120"/>
      <c r="F94" s="133"/>
      <c r="G94" s="133"/>
      <c r="H94" s="133"/>
      <c r="I94" s="133"/>
      <c r="J94" s="133"/>
      <c r="K94" s="133"/>
      <c r="P94" s="120"/>
      <c r="Q94" s="120"/>
      <c r="R94" s="120"/>
    </row>
    <row r="95" spans="1:18" s="128" customFormat="1" ht="15" customHeight="1" x14ac:dyDescent="0.25">
      <c r="A95" s="120"/>
      <c r="B95" s="120"/>
      <c r="C95" s="120"/>
      <c r="D95" s="120"/>
      <c r="E95" s="120"/>
      <c r="F95" s="133"/>
      <c r="G95" s="133"/>
      <c r="H95" s="133"/>
      <c r="I95" s="133"/>
      <c r="J95" s="133"/>
      <c r="K95" s="133"/>
      <c r="L95" s="133"/>
      <c r="M95" s="133"/>
      <c r="P95" s="120"/>
      <c r="Q95" s="120"/>
      <c r="R95" s="120"/>
    </row>
    <row r="96" spans="1:18" s="128" customFormat="1" ht="15" customHeight="1" x14ac:dyDescent="0.25">
      <c r="A96" s="123"/>
      <c r="B96" s="123"/>
      <c r="C96" s="123"/>
      <c r="D96" s="123"/>
      <c r="E96" s="120"/>
      <c r="F96" s="150"/>
      <c r="G96" s="150"/>
      <c r="H96" s="150"/>
      <c r="I96" s="150"/>
      <c r="J96" s="150"/>
      <c r="K96" s="150"/>
      <c r="L96" s="150"/>
      <c r="M96" s="150"/>
      <c r="N96" s="99"/>
      <c r="O96" s="99"/>
      <c r="P96" s="120"/>
      <c r="Q96" s="120"/>
      <c r="R96" s="120"/>
    </row>
    <row r="97" spans="1:18" s="128" customFormat="1" ht="15" customHeight="1" x14ac:dyDescent="0.25">
      <c r="A97" s="123"/>
      <c r="B97" s="123"/>
      <c r="C97" s="123"/>
      <c r="D97" s="123"/>
      <c r="E97" s="120"/>
      <c r="F97" s="150"/>
      <c r="G97" s="150"/>
      <c r="H97" s="150"/>
      <c r="I97" s="150"/>
      <c r="J97" s="150"/>
      <c r="K97" s="150"/>
      <c r="L97" s="150"/>
      <c r="M97" s="150"/>
      <c r="N97" s="99"/>
      <c r="O97" s="99"/>
      <c r="P97" s="120"/>
      <c r="Q97" s="120"/>
      <c r="R97" s="120"/>
    </row>
    <row r="98" spans="1:18" s="128" customFormat="1" ht="15" customHeight="1" x14ac:dyDescent="0.25">
      <c r="A98" s="123"/>
      <c r="B98" s="123"/>
      <c r="C98" s="123"/>
      <c r="D98" s="123"/>
      <c r="E98" s="120"/>
      <c r="F98" s="99"/>
      <c r="G98" s="99"/>
      <c r="H98" s="236"/>
      <c r="I98" s="236"/>
      <c r="J98" s="236"/>
      <c r="K98" s="236"/>
      <c r="L98" s="99"/>
      <c r="M98" s="99"/>
      <c r="N98" s="99"/>
      <c r="O98" s="99"/>
      <c r="P98" s="120"/>
      <c r="Q98" s="120"/>
      <c r="R98" s="120"/>
    </row>
    <row r="99" spans="1:18" s="128" customFormat="1" ht="15" customHeight="1" x14ac:dyDescent="0.25">
      <c r="A99" s="123"/>
      <c r="B99" s="123"/>
      <c r="C99" s="123"/>
      <c r="D99" s="123"/>
      <c r="E99" s="120"/>
      <c r="H99" s="131"/>
      <c r="I99" s="131"/>
      <c r="J99" s="131"/>
      <c r="K99" s="131"/>
      <c r="P99" s="120"/>
      <c r="Q99" s="120"/>
      <c r="R99" s="120"/>
    </row>
    <row r="100" spans="1:18" ht="15" hidden="1" customHeight="1" x14ac:dyDescent="0.25">
      <c r="A100" s="123"/>
      <c r="B100" s="123"/>
      <c r="C100" s="123"/>
      <c r="D100" s="123"/>
      <c r="H100" s="122"/>
      <c r="I100" s="122"/>
      <c r="J100" s="122"/>
      <c r="K100" s="122"/>
    </row>
  </sheetData>
  <sheetProtection algorithmName="SHA-512" hashValue="3/1PRR8zbfUv7Q0B98MvHHJg1U3Dr7BJN6O6Wgk22/WEwMCfdQBXCmQXyOfS5gse+wZpOKoyLIZDh16uIpKjEA==" saltValue="AX1gDyUKfqTAun+EQy1n1g==" spinCount="100000" sheet="1" objects="1" scenarios="1" selectLockedCells="1"/>
  <mergeCells count="109">
    <mergeCell ref="F39:H39"/>
    <mergeCell ref="I39:O41"/>
    <mergeCell ref="F40:H41"/>
    <mergeCell ref="I25:O25"/>
    <mergeCell ref="F26:G26"/>
    <mergeCell ref="I26:O26"/>
    <mergeCell ref="F27:G27"/>
    <mergeCell ref="I27:O27"/>
    <mergeCell ref="F22:G22"/>
    <mergeCell ref="I22:O22"/>
    <mergeCell ref="F23:G23"/>
    <mergeCell ref="I23:O23"/>
    <mergeCell ref="F24:G24"/>
    <mergeCell ref="I24:O24"/>
    <mergeCell ref="F45:M46"/>
    <mergeCell ref="F47:F49"/>
    <mergeCell ref="G47:G49"/>
    <mergeCell ref="H47:H49"/>
    <mergeCell ref="I47:I49"/>
    <mergeCell ref="J47:J49"/>
    <mergeCell ref="K47:K49"/>
    <mergeCell ref="L47:L49"/>
    <mergeCell ref="M47:M49"/>
    <mergeCell ref="F93:G93"/>
    <mergeCell ref="I93:O93"/>
    <mergeCell ref="F86:G86"/>
    <mergeCell ref="I86:O86"/>
    <mergeCell ref="F88:L89"/>
    <mergeCell ref="M88:N89"/>
    <mergeCell ref="F90:G90"/>
    <mergeCell ref="I90:O90"/>
    <mergeCell ref="F67:M68"/>
    <mergeCell ref="F92:G92"/>
    <mergeCell ref="I92:O92"/>
    <mergeCell ref="F81:L82"/>
    <mergeCell ref="M81:N82"/>
    <mergeCell ref="F91:G91"/>
    <mergeCell ref="I91:O91"/>
    <mergeCell ref="F83:G83"/>
    <mergeCell ref="I83:O83"/>
    <mergeCell ref="F84:G84"/>
    <mergeCell ref="I84:O84"/>
    <mergeCell ref="F85:G85"/>
    <mergeCell ref="I85:O85"/>
    <mergeCell ref="L73:O76"/>
    <mergeCell ref="F74:I74"/>
    <mergeCell ref="F69:F71"/>
    <mergeCell ref="G69:G71"/>
    <mergeCell ref="H69:H71"/>
    <mergeCell ref="I69:I71"/>
    <mergeCell ref="J69:J71"/>
    <mergeCell ref="F57:M58"/>
    <mergeCell ref="F59:F61"/>
    <mergeCell ref="G59:G61"/>
    <mergeCell ref="H59:H61"/>
    <mergeCell ref="I59:I61"/>
    <mergeCell ref="J59:J61"/>
    <mergeCell ref="K59:K61"/>
    <mergeCell ref="L59:O62"/>
    <mergeCell ref="L63:O66"/>
    <mergeCell ref="F64:I64"/>
    <mergeCell ref="F65:I65"/>
    <mergeCell ref="L69:O72"/>
    <mergeCell ref="L9:L10"/>
    <mergeCell ref="I9:K10"/>
    <mergeCell ref="F28:G28"/>
    <mergeCell ref="I28:O28"/>
    <mergeCell ref="F29:G29"/>
    <mergeCell ref="I29:O29"/>
    <mergeCell ref="F31:H31"/>
    <mergeCell ref="I31:O33"/>
    <mergeCell ref="F32:H33"/>
    <mergeCell ref="F25:G25"/>
    <mergeCell ref="F13:G14"/>
    <mergeCell ref="H13:H14"/>
    <mergeCell ref="I13:O14"/>
    <mergeCell ref="F16:G16"/>
    <mergeCell ref="I16:O16"/>
    <mergeCell ref="F17:G17"/>
    <mergeCell ref="I17:O17"/>
    <mergeCell ref="F18:G18"/>
    <mergeCell ref="F11:G11"/>
    <mergeCell ref="I11:O11"/>
    <mergeCell ref="F12:G12"/>
    <mergeCell ref="I12:O12"/>
    <mergeCell ref="P31:R31"/>
    <mergeCell ref="P32:Q32"/>
    <mergeCell ref="P33:Q33"/>
    <mergeCell ref="P34:Q34"/>
    <mergeCell ref="P35:Q35"/>
    <mergeCell ref="P1:XFD22"/>
    <mergeCell ref="A1:E6"/>
    <mergeCell ref="A7:E12"/>
    <mergeCell ref="A13:E16"/>
    <mergeCell ref="A17:E22"/>
    <mergeCell ref="A23:E28"/>
    <mergeCell ref="I15:O15"/>
    <mergeCell ref="F15:G15"/>
    <mergeCell ref="F35:H35"/>
    <mergeCell ref="I35:O37"/>
    <mergeCell ref="F36:H37"/>
    <mergeCell ref="I18:O18"/>
    <mergeCell ref="I19:O19"/>
    <mergeCell ref="F20:G20"/>
    <mergeCell ref="I20:O20"/>
    <mergeCell ref="F21:G21"/>
    <mergeCell ref="I21:O21"/>
    <mergeCell ref="F19:G19"/>
    <mergeCell ref="F9:H10"/>
  </mergeCells>
  <conditionalFormatting sqref="F83:G83">
    <cfRule type="expression" dxfId="65" priority="115">
      <formula>$M$81="NO"</formula>
    </cfRule>
    <cfRule type="expression" dxfId="64" priority="116">
      <formula>$M$81="SI"</formula>
    </cfRule>
  </conditionalFormatting>
  <conditionalFormatting sqref="F84:G84">
    <cfRule type="expression" dxfId="63" priority="113">
      <formula>$M$81="NO"</formula>
    </cfRule>
    <cfRule type="expression" dxfId="62" priority="114">
      <formula>$M$81="SI"</formula>
    </cfRule>
  </conditionalFormatting>
  <conditionalFormatting sqref="F85:G85">
    <cfRule type="expression" dxfId="61" priority="111">
      <formula>$M$81="NO"</formula>
    </cfRule>
    <cfRule type="expression" dxfId="60" priority="112">
      <formula>$M$81="SI"</formula>
    </cfRule>
  </conditionalFormatting>
  <conditionalFormatting sqref="F86:G86">
    <cfRule type="expression" dxfId="59" priority="109">
      <formula>$M$81="NO"</formula>
    </cfRule>
    <cfRule type="expression" dxfId="58" priority="110">
      <formula>$M$81="SI"</formula>
    </cfRule>
  </conditionalFormatting>
  <conditionalFormatting sqref="H83">
    <cfRule type="expression" dxfId="57" priority="107">
      <formula>$M$81="NO"</formula>
    </cfRule>
    <cfRule type="expression" dxfId="56" priority="108">
      <formula>$M$81="SI"</formula>
    </cfRule>
  </conditionalFormatting>
  <conditionalFormatting sqref="H84">
    <cfRule type="expression" dxfId="55" priority="103">
      <formula>$M$81="NO"</formula>
    </cfRule>
    <cfRule type="expression" dxfId="54" priority="104">
      <formula>$M$81="SI"</formula>
    </cfRule>
  </conditionalFormatting>
  <conditionalFormatting sqref="H85">
    <cfRule type="expression" dxfId="53" priority="68">
      <formula>$H$84=600</formula>
    </cfRule>
    <cfRule type="expression" dxfId="52" priority="101">
      <formula>$M$81="NO"</formula>
    </cfRule>
    <cfRule type="expression" dxfId="51" priority="102">
      <formula>$M$81="SI"</formula>
    </cfRule>
  </conditionalFormatting>
  <conditionalFormatting sqref="H86">
    <cfRule type="expression" dxfId="50" priority="99">
      <formula>$M$81="NO"</formula>
    </cfRule>
    <cfRule type="expression" dxfId="49" priority="100">
      <formula>$M$81="SI"</formula>
    </cfRule>
  </conditionalFormatting>
  <conditionalFormatting sqref="F90:G90">
    <cfRule type="expression" dxfId="48" priority="91">
      <formula>$M$88="NO"</formula>
    </cfRule>
    <cfRule type="expression" dxfId="47" priority="92">
      <formula>$M$88="SI"</formula>
    </cfRule>
  </conditionalFormatting>
  <conditionalFormatting sqref="F92:G92">
    <cfRule type="expression" dxfId="46" priority="89">
      <formula>$M$88="NO"</formula>
    </cfRule>
    <cfRule type="expression" dxfId="45" priority="90">
      <formula>$M$88="SI"</formula>
    </cfRule>
  </conditionalFormatting>
  <conditionalFormatting sqref="F91:G91">
    <cfRule type="expression" dxfId="44" priority="87">
      <formula>$M$88="NO"</formula>
    </cfRule>
    <cfRule type="expression" dxfId="43" priority="88">
      <formula>$M$88="SI"</formula>
    </cfRule>
  </conditionalFormatting>
  <conditionalFormatting sqref="F93:G93">
    <cfRule type="expression" dxfId="42" priority="85">
      <formula>$M$88="NO"</formula>
    </cfRule>
    <cfRule type="expression" dxfId="41" priority="86">
      <formula>$M$88="SI"</formula>
    </cfRule>
  </conditionalFormatting>
  <conditionalFormatting sqref="H90">
    <cfRule type="expression" dxfId="40" priority="83">
      <formula>$M$88="NO"</formula>
    </cfRule>
    <cfRule type="expression" dxfId="39" priority="84">
      <formula>$M$88="SI"</formula>
    </cfRule>
  </conditionalFormatting>
  <conditionalFormatting sqref="H91">
    <cfRule type="expression" dxfId="38" priority="81">
      <formula>$M$88="NO"</formula>
    </cfRule>
    <cfRule type="expression" dxfId="37" priority="82">
      <formula>$M$88="SI"</formula>
    </cfRule>
  </conditionalFormatting>
  <conditionalFormatting sqref="H92">
    <cfRule type="expression" dxfId="36" priority="67">
      <formula>$H$91=600</formula>
    </cfRule>
    <cfRule type="expression" dxfId="35" priority="79">
      <formula>$M$88="NO"</formula>
    </cfRule>
    <cfRule type="expression" dxfId="34" priority="80">
      <formula>$M$88="SI"</formula>
    </cfRule>
  </conditionalFormatting>
  <conditionalFormatting sqref="H93">
    <cfRule type="expression" dxfId="33" priority="77">
      <formula>$M$88="NO"</formula>
    </cfRule>
    <cfRule type="expression" dxfId="32" priority="78">
      <formula>$M$88="SI"</formula>
    </cfRule>
  </conditionalFormatting>
  <conditionalFormatting sqref="I83:O83">
    <cfRule type="expression" dxfId="31" priority="39">
      <formula>$M$81="NO"</formula>
    </cfRule>
    <cfRule type="expression" dxfId="30" priority="40">
      <formula>$M$81="SI"</formula>
    </cfRule>
  </conditionalFormatting>
  <conditionalFormatting sqref="I84:O86">
    <cfRule type="expression" dxfId="29" priority="23">
      <formula>$M$81="NO"</formula>
    </cfRule>
    <cfRule type="expression" dxfId="28" priority="24">
      <formula>$M$81="SI"</formula>
    </cfRule>
  </conditionalFormatting>
  <conditionalFormatting sqref="I90:O90">
    <cfRule type="expression" dxfId="27" priority="21">
      <formula>$M$88="NO"</formula>
    </cfRule>
    <cfRule type="expression" dxfId="26" priority="22">
      <formula>$M$88="SI"</formula>
    </cfRule>
  </conditionalFormatting>
  <conditionalFormatting sqref="I91:O93">
    <cfRule type="expression" dxfId="25" priority="19">
      <formula>$M$88="NO"</formula>
    </cfRule>
    <cfRule type="expression" dxfId="24" priority="20">
      <formula>$M$88="SI"</formula>
    </cfRule>
  </conditionalFormatting>
  <conditionalFormatting sqref="F28:O28">
    <cfRule type="expression" dxfId="23" priority="17">
      <formula>$H$13="Aquacell Core"</formula>
    </cfRule>
  </conditionalFormatting>
  <conditionalFormatting sqref="F29:O29">
    <cfRule type="expression" dxfId="22" priority="16">
      <formula>$H$13="Aquacell Core"</formula>
    </cfRule>
  </conditionalFormatting>
  <conditionalFormatting sqref="F32:H33">
    <cfRule type="expression" dxfId="21" priority="13">
      <formula>AND(F32&lt;&gt;"OK",F32&lt;&gt;"")</formula>
    </cfRule>
  </conditionalFormatting>
  <conditionalFormatting sqref="F35:H35">
    <cfRule type="expression" dxfId="20" priority="10">
      <formula>$H$13="Aquacell Core"</formula>
    </cfRule>
  </conditionalFormatting>
  <conditionalFormatting sqref="I35:O37">
    <cfRule type="expression" dxfId="19" priority="9">
      <formula>$H$13="Aquacell Core"</formula>
    </cfRule>
  </conditionalFormatting>
  <conditionalFormatting sqref="H16">
    <cfRule type="expression" dxfId="18" priority="7">
      <formula>OR($H$15="Zona Peatonal",$H$15="Zona Verde")</formula>
    </cfRule>
  </conditionalFormatting>
  <conditionalFormatting sqref="F36:H37">
    <cfRule type="expression" dxfId="17" priority="4">
      <formula>F36="Aumentar Recubrimiento"</formula>
    </cfRule>
    <cfRule type="expression" dxfId="16" priority="5">
      <formula>F36="Valor Máximo Alcanzado"</formula>
    </cfRule>
    <cfRule type="expression" dxfId="15" priority="6">
      <formula>F36="Resistencia Excedida"</formula>
    </cfRule>
  </conditionalFormatting>
  <conditionalFormatting sqref="F36:H37">
    <cfRule type="expression" dxfId="14" priority="3">
      <formula>$H$13="Aquacell Core"</formula>
    </cfRule>
  </conditionalFormatting>
  <conditionalFormatting sqref="H24">
    <cfRule type="expression" dxfId="13" priority="1">
      <formula>$H$13="Aquacell Core"</formula>
    </cfRule>
  </conditionalFormatting>
  <dataValidations count="12">
    <dataValidation type="list" allowBlank="1" showInputMessage="1" showErrorMessage="1" sqref="H91" xr:uid="{AD63C85F-FE76-4DBE-A838-EF271C6F58B0}">
      <formula1>IF($M$88="SI",$A$69:$A$70,"")</formula1>
    </dataValidation>
    <dataValidation type="list" allowBlank="1" showInputMessage="1" showErrorMessage="1" sqref="M81:N82 M88:N89" xr:uid="{314F175A-D877-4E84-B448-D969D2391FB1}">
      <formula1>"SI,NO"</formula1>
    </dataValidation>
    <dataValidation type="list" allowBlank="1" showInputMessage="1" showErrorMessage="1" sqref="H15" xr:uid="{6989D560-AAC3-48AC-85F7-02ACC5134510}">
      <formula1>"Zona Verde, Zona Peatonal,Parqueadero,Zona Vehicular"</formula1>
    </dataValidation>
    <dataValidation type="list" allowBlank="1" showInputMessage="1" showErrorMessage="1" sqref="J72" xr:uid="{278AF6C1-53A0-4B59-9514-6F52E13405FF}">
      <formula1>"1,2,3,4"</formula1>
    </dataValidation>
    <dataValidation type="whole" allowBlank="1" showInputMessage="1" showErrorMessage="1" errorTitle="Valor ingresado erróneo" error="Debes ingresar un númer entero (mínimo 1 máximo 10)." sqref="H18" xr:uid="{4A8BB0FC-3B5C-405E-B669-AD7B888B1247}">
      <formula1>1</formula1>
      <formula2>10</formula2>
    </dataValidation>
    <dataValidation type="list" allowBlank="1" showInputMessage="1" showErrorMessage="1" sqref="H13:H14" xr:uid="{CF4B17B0-21D0-4D60-AF19-E115B9B4445C}">
      <formula1>"Aquacell Core,Aquacell NG"</formula1>
    </dataValidation>
    <dataValidation type="list" allowBlank="1" showInputMessage="1" showErrorMessage="1" sqref="G50:G55 G62 G72" xr:uid="{89A60D33-B83C-49FC-BCDB-B03D57BCF540}">
      <formula1>IF($H$13="Aquacell Core",D_NOM_C,D_NOM_NG)</formula1>
    </dataValidation>
    <dataValidation type="custom" allowBlank="1" showInputMessage="1" showErrorMessage="1" errorTitle="Valor ingresado erróneo" error="Debes ingresar números que sean múltiplos de las dimensiones mínimas de las celdas Aqaucell. Este valor está indicado en el texto a tu derecha." sqref="H20" xr:uid="{2F59018D-E0FD-49BE-B02B-611FA45D872A}">
      <formula1>H20=IF(H13="Aquacell Core",MROUND(H20,0.5),MROUND(H20,0.6))</formula1>
    </dataValidation>
    <dataValidation type="list" allowBlank="1" showInputMessage="1" showErrorMessage="1" sqref="H84" xr:uid="{9B66177E-C05A-4577-8DCC-F0A4E068AC29}">
      <formula1>IF($M$81="SI",$A$69:$A$70,"")</formula1>
    </dataValidation>
    <dataValidation type="custom" allowBlank="1" showInputMessage="1" showErrorMessage="1" errorTitle="Valor ingresado erróneo" error="Debes ingresar números que sean múltiplos de las dimensiones mínimas de las celdas Aqaucell. Este valor está indicado en el texto a tu derecha." sqref="H21" xr:uid="{2F3DCD40-5277-4BA7-BE86-85D9D6F9951E}">
      <formula1>H21=IF(H13="Aquacell Core",MROUND(H21,0.5),MROUND(H21,1.2))</formula1>
    </dataValidation>
    <dataValidation type="decimal" allowBlank="1" showInputMessage="1" showErrorMessage="1" errorTitle="Valor ingresado erróneo" error="El valor mínimo de carga es de 1 Tonelada por llanta. Por otra parte, el valor máximo permitido de carga de tráfico es de 10 Toneladas por llanta." sqref="H16" xr:uid="{CB70D7B6-0532-45C1-8EFC-C9E380E49801}">
      <formula1>1</formula1>
      <formula2>10</formula2>
    </dataValidation>
    <dataValidation type="whole" allowBlank="1" showInputMessage="1" showErrorMessage="1" errorTitle="Valor ingresado erróneo" error="Este valor debe ser como máximo igual al valor No. de Capas. Revisa nuevamente y corrige el problema." sqref="H24" xr:uid="{DE9E1DAC-CBE5-46C7-8311-4342E40C44E5}">
      <formula1>0</formula1>
      <formula2>H18</formula2>
    </dataValidation>
  </dataValidations>
  <pageMargins left="0.7" right="0.7" top="0.75" bottom="0.75" header="0.3" footer="0.3"/>
  <pageSetup orientation="portrait" r:id="rId1"/>
  <ignoredErrors>
    <ignoredError sqref="F62"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59" id="{73B64EE5-122D-49BD-9847-FCDF2E149769}">
            <xm:f>CALCULOS!$B$22=FALSE</xm:f>
            <x14:dxf>
              <font>
                <color rgb="FF2B2B62"/>
              </font>
              <fill>
                <patternFill>
                  <bgColor rgb="FF2B2B62"/>
                </patternFill>
              </fill>
              <border>
                <left/>
                <right/>
                <top style="thin">
                  <color auto="1"/>
                </top>
                <bottom/>
                <vertical/>
                <horizontal/>
              </border>
            </x14:dxf>
          </x14:cfRule>
          <xm:sqref>F11:O11</xm:sqref>
        </x14:conditionalFormatting>
        <x14:conditionalFormatting xmlns:xm="http://schemas.microsoft.com/office/excel/2006/main">
          <x14:cfRule type="expression" priority="57" id="{C25AF282-C5A3-4CA5-8F77-36B95ED1EF0F}">
            <xm:f>CALCULOS!$B$22=FALSE</xm:f>
            <x14:dxf>
              <font>
                <color rgb="FF2B2B62"/>
              </font>
              <fill>
                <patternFill>
                  <bgColor rgb="FF2B2B62"/>
                </patternFill>
              </fill>
              <border>
                <left/>
                <right/>
                <top/>
                <bottom style="thin">
                  <color auto="1"/>
                </bottom>
                <vertical/>
                <horizontal/>
              </border>
            </x14:dxf>
          </x14:cfRule>
          <xm:sqref>F12:O12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95E11793-55F4-430D-9A1E-EF018C1B245B}">
          <x14:formula1>
            <xm:f>IF(OR($H$84=600,M81="NO"),"",'CÁLCULO MATERIALES AQUACELL'!$AQ$25:$AQ$26)</xm:f>
          </x14:formula1>
          <xm:sqref>H85</xm:sqref>
        </x14:dataValidation>
        <x14:dataValidation type="list" allowBlank="1" showInputMessage="1" showErrorMessage="1" xr:uid="{DBC800CF-DC62-4022-A4FE-5CD26E5D1A35}">
          <x14:formula1>
            <xm:f>IF(OR($H$90=600,M88="NO"),"",'CÁLCULO MATERIALES AQUACELL'!$AQ$25:$AQ$26)</xm:f>
          </x14:formula1>
          <xm:sqref>H92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95D09-7EA9-45A6-A8AB-F7DAB209C09E}">
  <sheetPr codeName="Hoja17">
    <pageSetUpPr autoPageBreaks="0"/>
  </sheetPr>
  <dimension ref="A1:R95"/>
  <sheetViews>
    <sheetView showRowColHeaders="0" zoomScale="80" zoomScaleNormal="80" workbookViewId="0">
      <selection sqref="A1:E6"/>
    </sheetView>
  </sheetViews>
  <sheetFormatPr baseColWidth="10" defaultColWidth="0" defaultRowHeight="15" zeroHeight="1" x14ac:dyDescent="0.25"/>
  <cols>
    <col min="1" max="17" width="11.42578125" style="120" customWidth="1"/>
    <col min="18" max="18" width="15.85546875" style="120" customWidth="1"/>
    <col min="19" max="21" width="11.42578125" style="120" hidden="1" customWidth="1"/>
    <col min="22" max="16384" width="11.42578125" style="120" hidden="1"/>
  </cols>
  <sheetData>
    <row r="1" spans="1:16" s="310" customFormat="1" ht="15" customHeight="1" x14ac:dyDescent="0.25">
      <c r="A1" s="373" t="s">
        <v>62</v>
      </c>
      <c r="B1" s="373"/>
      <c r="C1" s="373"/>
      <c r="D1" s="373"/>
      <c r="E1" s="373"/>
      <c r="F1" s="128"/>
      <c r="G1" s="128"/>
      <c r="H1" s="128"/>
      <c r="I1" s="128"/>
      <c r="J1" s="128"/>
      <c r="K1" s="128"/>
      <c r="L1" s="128"/>
      <c r="M1" s="128"/>
      <c r="N1" s="128"/>
      <c r="O1" s="128"/>
      <c r="P1" s="310" t="s">
        <v>1</v>
      </c>
    </row>
    <row r="2" spans="1:16" s="310" customFormat="1" ht="15" customHeight="1" x14ac:dyDescent="0.25">
      <c r="A2" s="373"/>
      <c r="B2" s="373"/>
      <c r="C2" s="373"/>
      <c r="D2" s="373"/>
      <c r="E2" s="373"/>
      <c r="F2" s="128"/>
      <c r="G2" s="128"/>
      <c r="H2" s="128"/>
      <c r="I2" s="128"/>
      <c r="J2" s="128"/>
      <c r="K2" s="128"/>
      <c r="L2" s="128"/>
      <c r="M2" s="128"/>
      <c r="N2" s="128"/>
      <c r="O2" s="147"/>
    </row>
    <row r="3" spans="1:16" s="310" customFormat="1" ht="15" customHeight="1" x14ac:dyDescent="0.25">
      <c r="A3" s="373"/>
      <c r="B3" s="373"/>
      <c r="C3" s="373"/>
      <c r="D3" s="373"/>
      <c r="E3" s="373"/>
      <c r="F3" s="128"/>
      <c r="G3" s="128"/>
      <c r="H3" s="128"/>
      <c r="I3" s="128"/>
      <c r="J3" s="128"/>
      <c r="K3" s="128"/>
      <c r="L3" s="128"/>
      <c r="M3" s="128"/>
      <c r="N3" s="128"/>
      <c r="O3" s="147"/>
    </row>
    <row r="4" spans="1:16" s="310" customFormat="1" ht="15" customHeight="1" x14ac:dyDescent="0.25">
      <c r="A4" s="373"/>
      <c r="B4" s="373"/>
      <c r="C4" s="373"/>
      <c r="D4" s="373"/>
      <c r="E4" s="373"/>
      <c r="F4" s="128"/>
      <c r="G4" s="128"/>
      <c r="H4" s="128"/>
      <c r="I4" s="128"/>
      <c r="J4" s="128"/>
      <c r="K4" s="128"/>
      <c r="L4" s="128"/>
      <c r="M4" s="128"/>
      <c r="N4" s="128"/>
      <c r="O4" s="147"/>
    </row>
    <row r="5" spans="1:16" s="310" customFormat="1" ht="15" customHeight="1" x14ac:dyDescent="0.25">
      <c r="A5" s="373"/>
      <c r="B5" s="373"/>
      <c r="C5" s="373"/>
      <c r="D5" s="373"/>
      <c r="E5" s="373"/>
      <c r="F5" s="128"/>
      <c r="G5" s="128"/>
      <c r="H5" s="128"/>
      <c r="I5" s="128"/>
      <c r="J5" s="128"/>
      <c r="K5" s="128"/>
      <c r="L5" s="128"/>
      <c r="M5" s="128"/>
      <c r="N5" s="128"/>
      <c r="O5" s="147"/>
    </row>
    <row r="6" spans="1:16" s="310" customFormat="1" ht="15" customHeight="1" x14ac:dyDescent="0.25">
      <c r="A6" s="373"/>
      <c r="B6" s="373"/>
      <c r="C6" s="373"/>
      <c r="D6" s="373"/>
      <c r="E6" s="373"/>
      <c r="F6" s="99"/>
      <c r="G6" s="99"/>
      <c r="H6" s="99"/>
      <c r="I6" s="99"/>
      <c r="J6" s="99"/>
      <c r="K6" s="99"/>
      <c r="L6" s="99"/>
      <c r="M6" s="99"/>
      <c r="N6" s="99"/>
      <c r="O6" s="148"/>
    </row>
    <row r="7" spans="1:16" s="310" customFormat="1" ht="15" customHeight="1" x14ac:dyDescent="0.25">
      <c r="A7" s="373" t="s">
        <v>63</v>
      </c>
      <c r="B7" s="373"/>
      <c r="C7" s="373"/>
      <c r="D7" s="373"/>
      <c r="E7" s="373"/>
      <c r="F7" s="99"/>
      <c r="G7" s="99"/>
      <c r="H7" s="99"/>
      <c r="I7" s="99"/>
      <c r="J7" s="99"/>
      <c r="K7" s="99"/>
      <c r="L7" s="99"/>
      <c r="M7" s="99"/>
      <c r="N7" s="99"/>
      <c r="O7" s="148"/>
    </row>
    <row r="8" spans="1:16" s="310" customFormat="1" ht="15" customHeight="1" x14ac:dyDescent="0.25">
      <c r="A8" s="373"/>
      <c r="B8" s="373"/>
      <c r="C8" s="373"/>
      <c r="D8" s="373"/>
      <c r="E8" s="373"/>
      <c r="F8" s="99"/>
      <c r="G8" s="99"/>
      <c r="H8" s="99"/>
      <c r="I8" s="99"/>
      <c r="J8" s="99"/>
      <c r="K8" s="99"/>
      <c r="L8" s="99"/>
      <c r="M8" s="99"/>
      <c r="N8" s="99"/>
      <c r="O8" s="148"/>
    </row>
    <row r="9" spans="1:16" s="310" customFormat="1" ht="15" customHeight="1" x14ac:dyDescent="0.25">
      <c r="A9" s="373"/>
      <c r="B9" s="373"/>
      <c r="C9" s="373"/>
      <c r="D9" s="373"/>
      <c r="E9" s="373"/>
      <c r="F9" s="376" t="s">
        <v>2762</v>
      </c>
      <c r="G9" s="376"/>
      <c r="H9" s="376"/>
      <c r="I9" s="376"/>
      <c r="J9" s="376"/>
      <c r="K9" s="376"/>
      <c r="L9" s="376"/>
      <c r="M9" s="376"/>
      <c r="N9" s="376"/>
      <c r="O9" s="376"/>
    </row>
    <row r="10" spans="1:16" s="310" customFormat="1" ht="15" customHeight="1" x14ac:dyDescent="0.25">
      <c r="A10" s="373"/>
      <c r="B10" s="373"/>
      <c r="C10" s="373"/>
      <c r="D10" s="373"/>
      <c r="E10" s="373"/>
      <c r="F10" s="376"/>
      <c r="G10" s="376"/>
      <c r="H10" s="376"/>
      <c r="I10" s="376"/>
      <c r="J10" s="376"/>
      <c r="K10" s="376"/>
      <c r="L10" s="376"/>
      <c r="M10" s="376"/>
      <c r="N10" s="376"/>
      <c r="O10" s="376"/>
    </row>
    <row r="11" spans="1:16" s="310" customFormat="1" ht="15" customHeight="1" x14ac:dyDescent="0.25">
      <c r="A11" s="373"/>
      <c r="B11" s="373"/>
      <c r="C11" s="373"/>
      <c r="D11" s="373"/>
      <c r="E11" s="373"/>
      <c r="F11" s="376"/>
      <c r="G11" s="376"/>
      <c r="H11" s="376"/>
      <c r="I11" s="376"/>
      <c r="J11" s="376"/>
      <c r="K11" s="376"/>
      <c r="L11" s="376"/>
      <c r="M11" s="376"/>
      <c r="N11" s="376"/>
      <c r="O11" s="376"/>
    </row>
    <row r="12" spans="1:16" s="310" customFormat="1" ht="15" customHeight="1" x14ac:dyDescent="0.25">
      <c r="A12" s="373"/>
      <c r="B12" s="373"/>
      <c r="C12" s="373"/>
      <c r="D12" s="373"/>
      <c r="E12" s="373"/>
      <c r="F12" s="317" t="s">
        <v>33</v>
      </c>
      <c r="G12" s="318"/>
      <c r="H12" s="188" t="str">
        <f>IF('DATOS DEL PROYECTO'!I38="No",DIMENSIONAMIENTO!H87,DIMENSIONAMIENTO_2!H19)</f>
        <v/>
      </c>
      <c r="I12" s="377" t="s">
        <v>64</v>
      </c>
      <c r="J12" s="377"/>
      <c r="K12" s="377"/>
      <c r="L12" s="377"/>
      <c r="M12" s="377"/>
      <c r="N12" s="377"/>
      <c r="O12" s="378"/>
    </row>
    <row r="13" spans="1:16" s="310" customFormat="1" ht="15" customHeight="1" x14ac:dyDescent="0.25">
      <c r="A13" s="373" t="s">
        <v>65</v>
      </c>
      <c r="B13" s="373"/>
      <c r="C13" s="373"/>
      <c r="D13" s="373"/>
      <c r="E13" s="373"/>
      <c r="F13" s="318" t="s">
        <v>34</v>
      </c>
      <c r="G13" s="318"/>
      <c r="H13" s="188">
        <f>IF('DATOS DEL PROYECTO'!I38="No",DIMENSIONAMIENTO!H88,DIMENSIONAMIENTO_2!H20)</f>
        <v>0</v>
      </c>
      <c r="I13" s="377"/>
      <c r="J13" s="377"/>
      <c r="K13" s="377"/>
      <c r="L13" s="377"/>
      <c r="M13" s="377"/>
      <c r="N13" s="377"/>
      <c r="O13" s="378"/>
    </row>
    <row r="14" spans="1:16" s="310" customFormat="1" ht="15" customHeight="1" x14ac:dyDescent="0.25">
      <c r="A14" s="373"/>
      <c r="B14" s="373"/>
      <c r="C14" s="373"/>
      <c r="D14" s="373"/>
      <c r="E14" s="373"/>
      <c r="F14" s="318" t="s">
        <v>35</v>
      </c>
      <c r="G14" s="318"/>
      <c r="H14" s="188">
        <f>IF('DATOS DEL PROYECTO'!I38="No",DIMENSIONAMIENTO!H89,DIMENSIONAMIENTO_2!H21)</f>
        <v>0</v>
      </c>
      <c r="I14" s="377"/>
      <c r="J14" s="377"/>
      <c r="K14" s="377"/>
      <c r="L14" s="377"/>
      <c r="M14" s="377"/>
      <c r="N14" s="377"/>
      <c r="O14" s="378"/>
    </row>
    <row r="15" spans="1:16" s="310" customFormat="1" ht="15" customHeight="1" x14ac:dyDescent="0.25">
      <c r="A15" s="373"/>
      <c r="B15" s="373"/>
      <c r="C15" s="373"/>
      <c r="D15" s="373"/>
      <c r="E15" s="373"/>
      <c r="F15" s="318" t="s">
        <v>66</v>
      </c>
      <c r="G15" s="318"/>
      <c r="H15" s="374">
        <f>IF('DATOS DEL PROYECTO'!I38="No",DIMENSIONAMIENTO!G140,DIMENSIONAMIENTO_2!G72)</f>
        <v>0</v>
      </c>
      <c r="I15" s="377"/>
      <c r="J15" s="377"/>
      <c r="K15" s="377"/>
      <c r="L15" s="377"/>
      <c r="M15" s="377"/>
      <c r="N15" s="377"/>
      <c r="O15" s="378"/>
    </row>
    <row r="16" spans="1:16" s="310" customFormat="1" ht="15" customHeight="1" x14ac:dyDescent="0.25">
      <c r="A16" s="373"/>
      <c r="B16" s="373"/>
      <c r="C16" s="373"/>
      <c r="D16" s="373"/>
      <c r="E16" s="373"/>
      <c r="F16" s="318"/>
      <c r="G16" s="318"/>
      <c r="H16" s="374"/>
      <c r="I16" s="377"/>
      <c r="J16" s="377"/>
      <c r="K16" s="377"/>
      <c r="L16" s="377"/>
      <c r="M16" s="377"/>
      <c r="N16" s="377"/>
      <c r="O16" s="378"/>
    </row>
    <row r="17" spans="1:18" s="310" customFormat="1" ht="15" customHeight="1" x14ac:dyDescent="0.25">
      <c r="A17" s="373"/>
      <c r="B17" s="373"/>
      <c r="C17" s="373"/>
      <c r="D17" s="373"/>
      <c r="E17" s="373"/>
      <c r="F17" s="318" t="s">
        <v>67</v>
      </c>
      <c r="G17" s="318"/>
      <c r="H17" s="375" t="str">
        <f>_xlfn.IFNA(HLOOKUP(H15,CALCULOS!B17:I18,2,FALSE),"")</f>
        <v/>
      </c>
      <c r="I17" s="323" t="s">
        <v>68</v>
      </c>
      <c r="J17" s="323"/>
      <c r="K17" s="323"/>
      <c r="L17" s="323"/>
      <c r="M17" s="323"/>
      <c r="N17" s="323"/>
      <c r="O17" s="324"/>
    </row>
    <row r="18" spans="1:18" s="310" customFormat="1" ht="15" customHeight="1" x14ac:dyDescent="0.25">
      <c r="A18" s="373"/>
      <c r="B18" s="373"/>
      <c r="C18" s="373"/>
      <c r="D18" s="373"/>
      <c r="E18" s="373"/>
      <c r="F18" s="318"/>
      <c r="G18" s="318"/>
      <c r="H18" s="375"/>
      <c r="I18" s="323"/>
      <c r="J18" s="323"/>
      <c r="K18" s="323"/>
      <c r="L18" s="323"/>
      <c r="M18" s="323"/>
      <c r="N18" s="323"/>
      <c r="O18" s="324"/>
    </row>
    <row r="19" spans="1:18" s="310" customFormat="1" ht="15" customHeight="1" x14ac:dyDescent="0.25">
      <c r="A19" s="373" t="s">
        <v>6</v>
      </c>
      <c r="B19" s="373"/>
      <c r="C19" s="373"/>
      <c r="D19" s="373"/>
      <c r="E19" s="373"/>
      <c r="F19" s="329" t="s">
        <v>69</v>
      </c>
      <c r="G19" s="329"/>
      <c r="H19" s="383" t="str">
        <f>IFERROR((2*(H14*H13))/(0.82*IF('DATOS DEL PROYECTO'!I38="No",DIMENSIONAMIENTO!J140,DIMENSIONAMIENTO_2!J72)*((PI()/4)*(H17*0.001)^2)*SQRT(2*9.81))*SQRT(H12),"")</f>
        <v/>
      </c>
      <c r="I19" s="322" t="s">
        <v>70</v>
      </c>
      <c r="J19" s="322"/>
      <c r="K19" s="322"/>
      <c r="L19" s="322"/>
      <c r="M19" s="322"/>
      <c r="N19" s="322"/>
      <c r="O19" s="322"/>
    </row>
    <row r="20" spans="1:18" s="310" customFormat="1" ht="15" customHeight="1" x14ac:dyDescent="0.25">
      <c r="A20" s="373"/>
      <c r="B20" s="373"/>
      <c r="C20" s="373"/>
      <c r="D20" s="373"/>
      <c r="E20" s="373"/>
      <c r="F20" s="382"/>
      <c r="G20" s="382"/>
      <c r="H20" s="384"/>
      <c r="I20" s="368"/>
      <c r="J20" s="368"/>
      <c r="K20" s="368"/>
      <c r="L20" s="368"/>
      <c r="M20" s="368"/>
      <c r="N20" s="368"/>
      <c r="O20" s="368"/>
    </row>
    <row r="21" spans="1:18" s="310" customFormat="1" ht="15" customHeight="1" x14ac:dyDescent="0.25">
      <c r="A21" s="373"/>
      <c r="B21" s="373"/>
      <c r="C21" s="373"/>
      <c r="D21" s="373"/>
      <c r="E21" s="373"/>
      <c r="F21" s="329" t="s">
        <v>71</v>
      </c>
      <c r="G21" s="329"/>
      <c r="H21" s="383" t="str">
        <f>IFERROR(H19/3600,"")</f>
        <v/>
      </c>
      <c r="I21" s="385" t="s">
        <v>72</v>
      </c>
      <c r="J21" s="385"/>
      <c r="K21" s="385"/>
      <c r="L21" s="385"/>
      <c r="M21" s="385"/>
      <c r="N21" s="385"/>
      <c r="O21" s="385"/>
    </row>
    <row r="22" spans="1:18" s="310" customFormat="1" ht="15" customHeight="1" x14ac:dyDescent="0.25">
      <c r="A22" s="373"/>
      <c r="B22" s="373"/>
      <c r="C22" s="373"/>
      <c r="D22" s="373"/>
      <c r="E22" s="373"/>
      <c r="F22" s="382"/>
      <c r="G22" s="382"/>
      <c r="H22" s="384"/>
      <c r="I22" s="386"/>
      <c r="J22" s="386"/>
      <c r="K22" s="386"/>
      <c r="L22" s="386"/>
      <c r="M22" s="386"/>
      <c r="N22" s="386"/>
      <c r="O22" s="386"/>
    </row>
    <row r="23" spans="1:18" ht="15" customHeight="1" x14ac:dyDescent="0.25">
      <c r="A23" s="373"/>
      <c r="B23" s="373"/>
      <c r="C23" s="373"/>
      <c r="D23" s="373"/>
      <c r="E23" s="373"/>
      <c r="F23" s="99"/>
      <c r="G23" s="99"/>
      <c r="H23" s="99"/>
      <c r="I23" s="99"/>
      <c r="J23" s="99"/>
      <c r="K23" s="99"/>
      <c r="L23" s="99"/>
      <c r="M23" s="99"/>
      <c r="N23" s="99"/>
      <c r="O23" s="99"/>
      <c r="P23" s="243"/>
      <c r="Q23" s="243"/>
      <c r="R23" s="243"/>
    </row>
    <row r="24" spans="1:18" ht="15" customHeight="1" x14ac:dyDescent="0.25">
      <c r="A24" s="373"/>
      <c r="B24" s="373"/>
      <c r="C24" s="373"/>
      <c r="D24" s="373"/>
      <c r="E24" s="373"/>
      <c r="F24" s="99"/>
      <c r="G24" s="99"/>
      <c r="H24" s="99"/>
      <c r="I24" s="99"/>
      <c r="J24" s="99"/>
      <c r="K24" s="99"/>
      <c r="L24" s="99"/>
      <c r="M24" s="99"/>
      <c r="N24" s="99"/>
      <c r="O24" s="99"/>
      <c r="P24" s="243"/>
      <c r="Q24" s="243"/>
      <c r="R24" s="243"/>
    </row>
    <row r="25" spans="1:18" ht="15" customHeight="1" x14ac:dyDescent="0.25">
      <c r="A25" s="373" t="s">
        <v>28</v>
      </c>
      <c r="B25" s="373"/>
      <c r="C25" s="373"/>
      <c r="D25" s="373"/>
      <c r="E25" s="373"/>
      <c r="F25" s="99"/>
      <c r="G25" s="99"/>
      <c r="H25" s="99"/>
      <c r="I25" s="99"/>
      <c r="J25" s="99"/>
      <c r="K25" s="99"/>
      <c r="L25" s="99"/>
      <c r="M25" s="99"/>
      <c r="N25" s="99"/>
      <c r="O25" s="99"/>
      <c r="P25" s="146"/>
      <c r="Q25" s="146"/>
      <c r="R25" s="146"/>
    </row>
    <row r="26" spans="1:18" ht="15" customHeight="1" x14ac:dyDescent="0.25">
      <c r="A26" s="373"/>
      <c r="B26" s="373"/>
      <c r="C26" s="373"/>
      <c r="D26" s="373"/>
      <c r="E26" s="373"/>
      <c r="F26" s="128"/>
      <c r="G26" s="128"/>
      <c r="H26" s="128"/>
      <c r="I26" s="128"/>
      <c r="J26" s="128"/>
      <c r="K26" s="128"/>
      <c r="L26" s="128"/>
      <c r="M26" s="128"/>
      <c r="N26" s="128"/>
      <c r="O26" s="128"/>
    </row>
    <row r="27" spans="1:18" ht="15" customHeight="1" x14ac:dyDescent="0.25">
      <c r="A27" s="373"/>
      <c r="B27" s="373"/>
      <c r="C27" s="373"/>
      <c r="D27" s="373"/>
      <c r="E27" s="373"/>
      <c r="F27" s="128"/>
      <c r="G27" s="128"/>
      <c r="H27" s="180" t="s">
        <v>73</v>
      </c>
      <c r="I27" s="180" t="s">
        <v>74</v>
      </c>
      <c r="J27" s="180" t="s">
        <v>75</v>
      </c>
      <c r="K27" s="387" t="s">
        <v>76</v>
      </c>
      <c r="L27" s="388"/>
      <c r="M27" s="389"/>
      <c r="N27" s="152"/>
      <c r="O27" s="128"/>
    </row>
    <row r="28" spans="1:18" ht="15" customHeight="1" x14ac:dyDescent="0.25">
      <c r="A28" s="373"/>
      <c r="B28" s="373"/>
      <c r="C28" s="373"/>
      <c r="D28" s="373"/>
      <c r="E28" s="373"/>
      <c r="F28" s="128"/>
      <c r="G28" s="128"/>
      <c r="H28" s="178" t="str">
        <f>IF(OR(H12="",H12=0),"",H12)</f>
        <v/>
      </c>
      <c r="I28" s="179" t="str">
        <f>IFERROR(0.82*SQRT(2*9.81*H28),"")</f>
        <v/>
      </c>
      <c r="J28" s="179" t="str">
        <f>IFERROR((I28*IF('DATOS DEL PROYECTO'!$I$38="No",DIMENSIONAMIENTO!$J$140,DIMENSIONAMIENTO_2!$J$72)*(PI()/4)*($H$17/1000)^2)*1000,"")</f>
        <v/>
      </c>
      <c r="K28" s="379" t="str">
        <f>IF(OR(H28="",I28=""),"","Altura total del tanque")</f>
        <v/>
      </c>
      <c r="L28" s="380"/>
      <c r="M28" s="381"/>
      <c r="N28" s="152"/>
      <c r="O28" s="128"/>
    </row>
    <row r="29" spans="1:18" ht="15" customHeight="1" x14ac:dyDescent="0.25">
      <c r="A29" s="373"/>
      <c r="B29" s="373"/>
      <c r="C29" s="373"/>
      <c r="D29" s="373"/>
      <c r="E29" s="373"/>
      <c r="F29" s="128"/>
      <c r="G29" s="128"/>
      <c r="H29" s="178" t="str">
        <f>IFERROR(IF(ISNUMBER(H28),IF($H$28*0.95&lt;($H$17/1000),"Altura de lámina de agua menor a diáetro de la tubería",$H$28*0.95),""),"")</f>
        <v/>
      </c>
      <c r="I29" s="179" t="str">
        <f t="shared" ref="I29:I38" si="0">IFERROR(0.82*SQRT(2*9.81*H29),"")</f>
        <v/>
      </c>
      <c r="J29" s="179" t="str">
        <f>IFERROR((I29*IF('DATOS DEL PROYECTO'!$I$38="No",DIMENSIONAMIENTO!$J$140,DIMENSIONAMIENTO_2!$J$72)*(PI()/4)*($H$17/1000)^2)*1000,"")</f>
        <v/>
      </c>
      <c r="K29" s="379" t="str">
        <f>IF(OR(H29="",I29=""),"",IF(ISNUMBER(H29),CONCATENATE((H29/$H$12)*100,"% de la altura total del tanque"),"Altura de lámina de agua menor a D interno"))</f>
        <v/>
      </c>
      <c r="L29" s="380"/>
      <c r="M29" s="381"/>
      <c r="N29" s="152"/>
      <c r="O29" s="128"/>
    </row>
    <row r="30" spans="1:18" ht="15" customHeight="1" x14ac:dyDescent="0.25">
      <c r="A30" s="373"/>
      <c r="B30" s="373"/>
      <c r="C30" s="373"/>
      <c r="D30" s="373"/>
      <c r="E30" s="373"/>
      <c r="F30" s="128"/>
      <c r="G30" s="128"/>
      <c r="H30" s="178" t="str">
        <f>IFERROR(IF(ISNUMBER(H29),IF($H$28*0.9&lt;($H$17/1000),"Altura de lámina de agua menor a diáetro de la tubería",$H$28*0.9),""),"")</f>
        <v/>
      </c>
      <c r="I30" s="179" t="str">
        <f t="shared" si="0"/>
        <v/>
      </c>
      <c r="J30" s="179" t="str">
        <f>IFERROR((I30*IF('DATOS DEL PROYECTO'!$I$38="No",DIMENSIONAMIENTO!$J$140,DIMENSIONAMIENTO_2!$J$72)*(PI()/4)*($H$17/1000)^2)*1000,"")</f>
        <v/>
      </c>
      <c r="K30" s="379" t="str">
        <f t="shared" ref="K30:K38" si="1">IF(OR(H30="",I30=""),"",IF(ISNUMBER(H30),CONCATENATE((H30/$H$12)*100,"% de la altura total del tanque"),"Altura de lámina de agua menor a D interno"))</f>
        <v/>
      </c>
      <c r="L30" s="380"/>
      <c r="M30" s="381"/>
      <c r="N30" s="152"/>
      <c r="O30" s="128"/>
    </row>
    <row r="31" spans="1:18" ht="15" customHeight="1" x14ac:dyDescent="0.25">
      <c r="F31" s="128"/>
      <c r="G31" s="128"/>
      <c r="H31" s="178" t="str">
        <f>IFERROR(IF(ISNUMBER(H30),IF($H$28*0.8&lt;($H$17/1000),"Altura de lámina de agua menor a diáetro de la tubería",$H$28*0.8),""),"")</f>
        <v/>
      </c>
      <c r="I31" s="179" t="str">
        <f t="shared" si="0"/>
        <v/>
      </c>
      <c r="J31" s="179" t="str">
        <f>IFERROR((I31*IF('DATOS DEL PROYECTO'!$I$38="No",DIMENSIONAMIENTO!$J$140,DIMENSIONAMIENTO_2!$J$72)*(PI()/4)*($H$17/1000)^2)*1000,"")</f>
        <v/>
      </c>
      <c r="K31" s="379" t="str">
        <f t="shared" si="1"/>
        <v/>
      </c>
      <c r="L31" s="380"/>
      <c r="M31" s="381"/>
      <c r="N31" s="152"/>
      <c r="O31" s="128"/>
    </row>
    <row r="32" spans="1:18" ht="15" customHeight="1" x14ac:dyDescent="0.25">
      <c r="F32" s="128"/>
      <c r="G32" s="128"/>
      <c r="H32" s="178" t="str">
        <f>IFERROR(IF(ISNUMBER(H31),IF($H$28*0.7&lt;($H$17/1000),"Altura de lámina de agua menor a diáetro de la tubería",$H$28*0.7),""),"")</f>
        <v/>
      </c>
      <c r="I32" s="179" t="str">
        <f t="shared" si="0"/>
        <v/>
      </c>
      <c r="J32" s="179" t="str">
        <f>IFERROR((I32*IF('DATOS DEL PROYECTO'!$I$38="No",DIMENSIONAMIENTO!$J$140,DIMENSIONAMIENTO_2!$J$72)*(PI()/4)*($H$17/1000)^2)*1000,"")</f>
        <v/>
      </c>
      <c r="K32" s="379" t="str">
        <f t="shared" si="1"/>
        <v/>
      </c>
      <c r="L32" s="380"/>
      <c r="M32" s="381"/>
      <c r="N32" s="152"/>
      <c r="O32" s="128"/>
    </row>
    <row r="33" spans="1:18" ht="15" customHeight="1" x14ac:dyDescent="0.25">
      <c r="F33" s="128"/>
      <c r="G33" s="128"/>
      <c r="H33" s="178" t="str">
        <f>IFERROR(IF(ISNUMBER(H32),IF($H$28*0.6&lt;($H$17/1000),"Altura de lámina de agua menor a diáetro de la tubería",$H$28*0.6),""),"")</f>
        <v/>
      </c>
      <c r="I33" s="179" t="str">
        <f t="shared" si="0"/>
        <v/>
      </c>
      <c r="J33" s="179" t="str">
        <f>IFERROR((I33*IF('DATOS DEL PROYECTO'!$I$38="No",DIMENSIONAMIENTO!$J$140,DIMENSIONAMIENTO_2!$J$72)*(PI()/4)*($H$17/1000)^2)*1000,"")</f>
        <v/>
      </c>
      <c r="K33" s="379" t="str">
        <f t="shared" si="1"/>
        <v/>
      </c>
      <c r="L33" s="380"/>
      <c r="M33" s="381"/>
      <c r="N33" s="152"/>
      <c r="O33" s="128"/>
    </row>
    <row r="34" spans="1:18" ht="15" customHeight="1" x14ac:dyDescent="0.25">
      <c r="F34" s="128"/>
      <c r="G34" s="128"/>
      <c r="H34" s="178" t="str">
        <f>IFERROR(IF(ISNUMBER(H33),IF($H$28*0.5&lt;($H$17/1000),"Altura de lámina de agua menor a diáetro de la tubería",$H$28*0.5),""),"")</f>
        <v/>
      </c>
      <c r="I34" s="179" t="str">
        <f t="shared" si="0"/>
        <v/>
      </c>
      <c r="J34" s="179" t="str">
        <f>IFERROR((I34*IF('DATOS DEL PROYECTO'!$I$38="No",DIMENSIONAMIENTO!$J$140,DIMENSIONAMIENTO_2!$J$72)*(PI()/4)*($H$17/1000)^2)*1000,"")</f>
        <v/>
      </c>
      <c r="K34" s="379" t="str">
        <f t="shared" si="1"/>
        <v/>
      </c>
      <c r="L34" s="380"/>
      <c r="M34" s="381"/>
      <c r="N34" s="152"/>
      <c r="O34" s="128"/>
    </row>
    <row r="35" spans="1:18" ht="15" customHeight="1" x14ac:dyDescent="0.25">
      <c r="F35" s="128"/>
      <c r="G35" s="128"/>
      <c r="H35" s="178" t="str">
        <f>IFERROR(IF(ISNUMBER(H34),IF($H$28*0.4&lt;($H$17/1000),"Altura de lámina de agua menor a diáetro de la tubería",$H$28*0.4),""),"")</f>
        <v/>
      </c>
      <c r="I35" s="179" t="str">
        <f t="shared" si="0"/>
        <v/>
      </c>
      <c r="J35" s="179" t="str">
        <f>IFERROR((I35*IF('DATOS DEL PROYECTO'!$I$38="No",DIMENSIONAMIENTO!$J$140,DIMENSIONAMIENTO_2!$J$72)*(PI()/4)*($H$17/1000)^2)*1000,"")</f>
        <v/>
      </c>
      <c r="K35" s="379" t="str">
        <f t="shared" si="1"/>
        <v/>
      </c>
      <c r="L35" s="380"/>
      <c r="M35" s="381"/>
      <c r="N35" s="152"/>
      <c r="O35" s="128"/>
    </row>
    <row r="36" spans="1:18" ht="15" customHeight="1" x14ac:dyDescent="0.25">
      <c r="F36" s="128"/>
      <c r="G36" s="128"/>
      <c r="H36" s="178" t="str">
        <f>IFERROR(IF(ISNUMBER(H35),IF($H$28*0.3&lt;($H$17/1000),"Altura de lámina de agua menor a diáetro de la tubería",$H$28*0.3),""),"")</f>
        <v/>
      </c>
      <c r="I36" s="179" t="str">
        <f t="shared" si="0"/>
        <v/>
      </c>
      <c r="J36" s="179" t="str">
        <f>IFERROR((I36*IF('DATOS DEL PROYECTO'!$I$38="No",DIMENSIONAMIENTO!$J$140,DIMENSIONAMIENTO_2!$J$72)*(PI()/4)*($H$17/1000)^2)*1000,"")</f>
        <v/>
      </c>
      <c r="K36" s="379" t="str">
        <f t="shared" si="1"/>
        <v/>
      </c>
      <c r="L36" s="380"/>
      <c r="M36" s="381"/>
      <c r="N36" s="152"/>
      <c r="O36" s="128"/>
    </row>
    <row r="37" spans="1:18" ht="15" customHeight="1" x14ac:dyDescent="0.25">
      <c r="F37" s="128"/>
      <c r="G37" s="128"/>
      <c r="H37" s="178" t="str">
        <f>IFERROR(IF(ISNUMBER(H36),IF($H$28*0.2&lt;($H$17/1000),"Altura de lámina de agua menor a diáetro de la tubería",$H$28*0.2),""),"")</f>
        <v/>
      </c>
      <c r="I37" s="179" t="str">
        <f t="shared" si="0"/>
        <v/>
      </c>
      <c r="J37" s="179" t="str">
        <f>IFERROR((I37*IF('DATOS DEL PROYECTO'!$I$38="No",DIMENSIONAMIENTO!$J$140,DIMENSIONAMIENTO_2!$J$72)*(PI()/4)*($H$17/1000)^2)*1000,"")</f>
        <v/>
      </c>
      <c r="K37" s="379" t="str">
        <f t="shared" si="1"/>
        <v/>
      </c>
      <c r="L37" s="380"/>
      <c r="M37" s="381"/>
      <c r="N37" s="152"/>
      <c r="O37" s="128"/>
    </row>
    <row r="38" spans="1:18" s="128" customFormat="1" ht="15" customHeight="1" x14ac:dyDescent="0.25">
      <c r="A38" s="120"/>
      <c r="B38" s="120"/>
      <c r="C38" s="120"/>
      <c r="D38" s="120"/>
      <c r="E38" s="120"/>
      <c r="F38" s="133"/>
      <c r="G38" s="133"/>
      <c r="H38" s="178" t="str">
        <f>IFERROR(IF(ISNUMBER(H37),IF($H$28*0.1&lt;($H$17/1000),"Flujo libre",$H$28*0.1),""),"")</f>
        <v/>
      </c>
      <c r="I38" s="179" t="str">
        <f t="shared" si="0"/>
        <v/>
      </c>
      <c r="J38" s="179" t="str">
        <f>IFERROR((I38*IF('DATOS DEL PROYECTO'!$I$38="No",DIMENSIONAMIENTO!$J$140,DIMENSIONAMIENTO_2!$J$72)*(PI()/4)*($H$17/1000)^2)*1000,"")</f>
        <v/>
      </c>
      <c r="K38" s="379" t="str">
        <f t="shared" si="1"/>
        <v/>
      </c>
      <c r="L38" s="380"/>
      <c r="M38" s="381"/>
      <c r="N38" s="152"/>
      <c r="P38" s="120"/>
      <c r="Q38" s="120"/>
      <c r="R38" s="120"/>
    </row>
    <row r="39" spans="1:18" s="128" customFormat="1" ht="15" customHeight="1" x14ac:dyDescent="0.25">
      <c r="A39" s="120"/>
      <c r="B39" s="120"/>
      <c r="C39" s="120"/>
      <c r="D39" s="120"/>
      <c r="E39" s="120"/>
      <c r="F39" s="133"/>
      <c r="G39" s="133"/>
      <c r="H39" s="133"/>
      <c r="I39" s="168"/>
      <c r="J39" s="168"/>
      <c r="K39" s="169"/>
      <c r="L39" s="170"/>
      <c r="M39" s="171"/>
      <c r="N39" s="152"/>
      <c r="P39" s="120"/>
      <c r="Q39" s="120"/>
      <c r="R39" s="120"/>
    </row>
    <row r="40" spans="1:18" s="128" customFormat="1" ht="15" customHeight="1" x14ac:dyDescent="0.25">
      <c r="A40" s="120"/>
      <c r="B40" s="120"/>
      <c r="C40" s="120"/>
      <c r="D40" s="120"/>
      <c r="E40" s="120"/>
      <c r="F40" s="376" t="s">
        <v>3053</v>
      </c>
      <c r="G40" s="376"/>
      <c r="H40" s="376"/>
      <c r="I40" s="376"/>
      <c r="J40" s="376"/>
      <c r="K40" s="376"/>
      <c r="L40" s="376"/>
      <c r="M40" s="376"/>
      <c r="N40" s="376"/>
      <c r="O40" s="376"/>
      <c r="P40" s="120"/>
      <c r="Q40" s="120"/>
      <c r="R40" s="120"/>
    </row>
    <row r="41" spans="1:18" s="128" customFormat="1" ht="15" customHeight="1" x14ac:dyDescent="0.25">
      <c r="A41" s="120"/>
      <c r="B41" s="120"/>
      <c r="C41" s="120"/>
      <c r="D41" s="120"/>
      <c r="E41" s="120"/>
      <c r="F41" s="376"/>
      <c r="G41" s="376"/>
      <c r="H41" s="376"/>
      <c r="I41" s="376"/>
      <c r="J41" s="376"/>
      <c r="K41" s="376"/>
      <c r="L41" s="376"/>
      <c r="M41" s="376"/>
      <c r="N41" s="376"/>
      <c r="O41" s="376"/>
      <c r="P41" s="120"/>
      <c r="Q41" s="120"/>
      <c r="R41" s="120"/>
    </row>
    <row r="42" spans="1:18" s="128" customFormat="1" ht="15" customHeight="1" x14ac:dyDescent="0.25">
      <c r="A42" s="120"/>
      <c r="B42" s="120"/>
      <c r="C42" s="120"/>
      <c r="D42" s="120"/>
      <c r="E42" s="120"/>
      <c r="F42" s="376"/>
      <c r="G42" s="376"/>
      <c r="H42" s="376"/>
      <c r="I42" s="376"/>
      <c r="J42" s="376"/>
      <c r="K42" s="376"/>
      <c r="L42" s="376"/>
      <c r="M42" s="376"/>
      <c r="N42" s="376"/>
      <c r="O42" s="376"/>
      <c r="P42" s="120"/>
      <c r="Q42" s="120"/>
      <c r="R42" s="120"/>
    </row>
    <row r="43" spans="1:18" s="128" customFormat="1" ht="15" customHeight="1" x14ac:dyDescent="0.25">
      <c r="A43" s="120"/>
      <c r="B43" s="120"/>
      <c r="C43" s="120"/>
      <c r="D43" s="120"/>
      <c r="E43" s="120"/>
      <c r="F43" s="376"/>
      <c r="G43" s="376"/>
      <c r="H43" s="376"/>
      <c r="I43" s="376"/>
      <c r="J43" s="376"/>
      <c r="K43" s="376"/>
      <c r="L43" s="376"/>
      <c r="M43" s="376"/>
      <c r="N43" s="376"/>
      <c r="O43" s="376"/>
      <c r="P43" s="120"/>
      <c r="Q43" s="120"/>
      <c r="R43" s="120"/>
    </row>
    <row r="44" spans="1:18" s="128" customFormat="1" ht="15" customHeight="1" x14ac:dyDescent="0.25">
      <c r="A44" s="120"/>
      <c r="B44" s="120"/>
      <c r="C44" s="120"/>
      <c r="D44" s="120"/>
      <c r="E44" s="120"/>
      <c r="F44" s="181"/>
      <c r="G44" s="181"/>
      <c r="H44" s="181"/>
      <c r="I44" s="181"/>
      <c r="J44" s="181"/>
      <c r="K44" s="181"/>
      <c r="L44" s="181"/>
      <c r="N44" s="152"/>
      <c r="P44" s="120"/>
      <c r="Q44" s="120"/>
      <c r="R44" s="120"/>
    </row>
    <row r="45" spans="1:18" s="128" customFormat="1" ht="15" customHeight="1" x14ac:dyDescent="0.25">
      <c r="A45" s="120"/>
      <c r="B45" s="120"/>
      <c r="C45" s="120"/>
      <c r="D45" s="120"/>
      <c r="E45" s="120"/>
      <c r="F45" s="99"/>
      <c r="G45" s="99"/>
      <c r="H45" s="99"/>
      <c r="I45" s="99"/>
      <c r="J45" s="99"/>
      <c r="K45" s="99"/>
      <c r="L45" s="99"/>
      <c r="M45" s="99"/>
      <c r="N45" s="99"/>
      <c r="O45" s="99"/>
      <c r="P45" s="120"/>
      <c r="Q45" s="120"/>
      <c r="R45" s="120"/>
    </row>
    <row r="46" spans="1:18" s="128" customFormat="1" ht="15" customHeight="1" x14ac:dyDescent="0.25">
      <c r="A46" s="120"/>
      <c r="B46" s="120"/>
      <c r="C46" s="120"/>
      <c r="D46" s="120"/>
      <c r="E46" s="120"/>
      <c r="F46" s="99"/>
      <c r="G46" s="99"/>
      <c r="H46" s="99"/>
      <c r="I46" s="99"/>
      <c r="J46" s="99"/>
      <c r="K46" s="99"/>
      <c r="L46" s="99"/>
      <c r="M46" s="99"/>
      <c r="N46" s="99"/>
      <c r="O46" s="99"/>
      <c r="P46" s="120"/>
      <c r="Q46" s="120"/>
      <c r="R46" s="120"/>
    </row>
    <row r="47" spans="1:18" s="128" customFormat="1" ht="15" customHeight="1" x14ac:dyDescent="0.25">
      <c r="A47" s="120"/>
      <c r="B47" s="120"/>
      <c r="C47" s="120"/>
      <c r="D47" s="120"/>
      <c r="E47" s="120"/>
      <c r="F47" s="99"/>
      <c r="G47" s="99"/>
      <c r="H47" s="99"/>
      <c r="I47" s="99"/>
      <c r="J47" s="99"/>
      <c r="K47" s="99"/>
      <c r="L47" s="99"/>
      <c r="M47" s="99"/>
      <c r="N47" s="99"/>
      <c r="O47" s="99"/>
      <c r="P47" s="120"/>
      <c r="Q47" s="120"/>
      <c r="R47" s="120"/>
    </row>
    <row r="48" spans="1:18" s="128" customFormat="1" ht="15" customHeight="1" x14ac:dyDescent="0.25">
      <c r="A48" s="120"/>
      <c r="B48" s="120"/>
      <c r="C48" s="120"/>
      <c r="D48" s="120"/>
      <c r="E48" s="120"/>
      <c r="F48" s="133"/>
      <c r="G48" s="133"/>
      <c r="N48" s="152"/>
      <c r="P48" s="120"/>
      <c r="Q48" s="120"/>
      <c r="R48" s="120"/>
    </row>
    <row r="49" spans="1:18" s="128" customFormat="1" ht="15" customHeight="1" x14ac:dyDescent="0.25">
      <c r="A49" s="120"/>
      <c r="B49" s="120"/>
      <c r="C49" s="120"/>
      <c r="D49" s="120"/>
      <c r="E49" s="120"/>
      <c r="F49" s="376" t="s">
        <v>77</v>
      </c>
      <c r="G49" s="376"/>
      <c r="H49" s="376"/>
      <c r="I49" s="376"/>
      <c r="J49" s="376"/>
      <c r="K49" s="376"/>
      <c r="L49" s="376"/>
      <c r="M49" s="376"/>
      <c r="N49" s="376"/>
      <c r="O49" s="376"/>
      <c r="P49" s="120"/>
      <c r="Q49" s="120"/>
      <c r="R49" s="120"/>
    </row>
    <row r="50" spans="1:18" s="128" customFormat="1" ht="15" customHeight="1" x14ac:dyDescent="0.25">
      <c r="A50" s="120"/>
      <c r="B50" s="120"/>
      <c r="C50" s="120"/>
      <c r="D50" s="120"/>
      <c r="E50" s="120"/>
      <c r="F50" s="376"/>
      <c r="G50" s="376"/>
      <c r="H50" s="376"/>
      <c r="I50" s="376"/>
      <c r="J50" s="376"/>
      <c r="K50" s="376"/>
      <c r="L50" s="376"/>
      <c r="M50" s="376"/>
      <c r="N50" s="376"/>
      <c r="O50" s="376"/>
      <c r="P50" s="120"/>
      <c r="Q50" s="120"/>
      <c r="R50" s="120"/>
    </row>
    <row r="51" spans="1:18" s="128" customFormat="1" ht="15" customHeight="1" x14ac:dyDescent="0.25">
      <c r="A51" s="120"/>
      <c r="B51" s="120"/>
      <c r="C51" s="120"/>
      <c r="D51" s="120"/>
      <c r="E51" s="120"/>
      <c r="F51" s="376"/>
      <c r="G51" s="376"/>
      <c r="H51" s="376"/>
      <c r="I51" s="376"/>
      <c r="J51" s="376"/>
      <c r="K51" s="376"/>
      <c r="L51" s="376"/>
      <c r="M51" s="376"/>
      <c r="N51" s="376"/>
      <c r="O51" s="376"/>
      <c r="P51" s="120"/>
      <c r="Q51" s="120"/>
      <c r="R51" s="120"/>
    </row>
    <row r="52" spans="1:18" s="128" customFormat="1" ht="15" customHeight="1" x14ac:dyDescent="0.25">
      <c r="A52" s="120"/>
      <c r="B52" s="120"/>
      <c r="C52" s="120"/>
      <c r="D52" s="120"/>
      <c r="E52" s="120"/>
      <c r="F52" s="376"/>
      <c r="G52" s="376"/>
      <c r="H52" s="376"/>
      <c r="I52" s="376"/>
      <c r="J52" s="376"/>
      <c r="K52" s="376"/>
      <c r="L52" s="376"/>
      <c r="M52" s="376"/>
      <c r="N52" s="376"/>
      <c r="O52" s="376"/>
      <c r="P52" s="120"/>
      <c r="Q52" s="120"/>
      <c r="R52" s="120"/>
    </row>
    <row r="53" spans="1:18" s="128" customFormat="1" ht="15" customHeight="1" x14ac:dyDescent="0.25">
      <c r="A53" s="120"/>
      <c r="B53" s="120"/>
      <c r="C53" s="120"/>
      <c r="D53" s="120"/>
      <c r="E53" s="120"/>
      <c r="F53" s="133"/>
      <c r="G53" s="133"/>
      <c r="P53" s="120"/>
      <c r="Q53" s="120"/>
      <c r="R53" s="120"/>
    </row>
    <row r="54" spans="1:18" s="128" customFormat="1" ht="15" customHeight="1" x14ac:dyDescent="0.25">
      <c r="A54" s="120"/>
      <c r="B54" s="120"/>
      <c r="C54" s="120"/>
      <c r="D54" s="120"/>
      <c r="E54" s="120"/>
      <c r="F54" s="133"/>
      <c r="G54" s="133"/>
      <c r="P54" s="120"/>
      <c r="Q54" s="120"/>
      <c r="R54" s="120"/>
    </row>
    <row r="55" spans="1:18" s="128" customFormat="1" ht="15" customHeight="1" x14ac:dyDescent="0.25">
      <c r="A55" s="120"/>
      <c r="B55" s="120"/>
      <c r="C55" s="120"/>
      <c r="D55" s="120"/>
      <c r="E55" s="120"/>
      <c r="F55" s="133"/>
      <c r="G55" s="133"/>
      <c r="H55" s="133"/>
      <c r="I55" s="133"/>
      <c r="J55" s="133"/>
      <c r="K55" s="133"/>
      <c r="L55" s="133"/>
      <c r="M55" s="133"/>
      <c r="P55" s="120"/>
      <c r="Q55" s="120"/>
      <c r="R55" s="120"/>
    </row>
    <row r="56" spans="1:18" s="128" customFormat="1" ht="15" customHeight="1" x14ac:dyDescent="0.25">
      <c r="A56" s="120"/>
      <c r="B56" s="120"/>
      <c r="C56" s="120"/>
      <c r="D56" s="120"/>
      <c r="E56" s="120"/>
      <c r="F56" s="133"/>
      <c r="G56" s="133"/>
      <c r="H56" s="133"/>
      <c r="I56" s="133"/>
      <c r="J56" s="133"/>
      <c r="K56" s="133"/>
      <c r="L56" s="133"/>
      <c r="M56" s="133"/>
      <c r="P56" s="120"/>
      <c r="Q56" s="120"/>
      <c r="R56" s="120"/>
    </row>
    <row r="57" spans="1:18" s="128" customFormat="1" ht="15" customHeight="1" x14ac:dyDescent="0.25">
      <c r="A57" s="120"/>
      <c r="B57" s="120"/>
      <c r="C57" s="120"/>
      <c r="D57" s="120"/>
      <c r="E57" s="120"/>
      <c r="F57" s="133"/>
      <c r="G57" s="133"/>
      <c r="H57" s="133"/>
      <c r="I57" s="133"/>
      <c r="J57" s="133"/>
      <c r="K57" s="133"/>
      <c r="L57" s="133"/>
      <c r="M57" s="133"/>
      <c r="P57" s="120"/>
      <c r="Q57" s="120"/>
      <c r="R57" s="120"/>
    </row>
    <row r="58" spans="1:18" s="128" customFormat="1" ht="15" customHeight="1" x14ac:dyDescent="0.25">
      <c r="A58" s="120"/>
      <c r="B58" s="120"/>
      <c r="C58" s="120"/>
      <c r="D58" s="120"/>
      <c r="E58" s="120"/>
      <c r="F58" s="133"/>
      <c r="G58" s="133"/>
      <c r="H58" s="133"/>
      <c r="I58" s="133"/>
      <c r="J58" s="133"/>
      <c r="K58" s="133"/>
      <c r="L58" s="133"/>
      <c r="M58" s="133"/>
      <c r="P58" s="120"/>
      <c r="Q58" s="120"/>
      <c r="R58" s="120"/>
    </row>
    <row r="59" spans="1:18" s="128" customFormat="1" ht="15" customHeight="1" x14ac:dyDescent="0.25">
      <c r="A59" s="120"/>
      <c r="B59" s="120"/>
      <c r="C59" s="120"/>
      <c r="D59" s="120"/>
      <c r="E59" s="120"/>
      <c r="F59" s="133"/>
      <c r="G59" s="133"/>
      <c r="H59" s="133"/>
      <c r="I59" s="133"/>
      <c r="J59" s="133"/>
      <c r="K59" s="133"/>
      <c r="L59" s="133"/>
      <c r="M59" s="133"/>
      <c r="P59" s="120"/>
      <c r="Q59" s="120"/>
      <c r="R59" s="120"/>
    </row>
    <row r="60" spans="1:18" s="128" customFormat="1" ht="15" customHeight="1" x14ac:dyDescent="0.25">
      <c r="A60" s="120"/>
      <c r="B60" s="120"/>
      <c r="C60" s="120"/>
      <c r="D60" s="120"/>
      <c r="E60" s="120"/>
      <c r="F60" s="133"/>
      <c r="G60" s="133"/>
      <c r="H60" s="133"/>
      <c r="I60" s="133"/>
      <c r="J60" s="133"/>
      <c r="K60" s="133"/>
      <c r="L60" s="133"/>
      <c r="M60" s="133"/>
      <c r="P60" s="120"/>
      <c r="Q60" s="120"/>
      <c r="R60" s="120"/>
    </row>
    <row r="61" spans="1:18" s="128" customFormat="1" ht="15" customHeight="1" x14ac:dyDescent="0.25">
      <c r="A61" s="120"/>
      <c r="B61" s="120"/>
      <c r="C61" s="120"/>
      <c r="D61" s="120"/>
      <c r="E61" s="120"/>
      <c r="F61" s="133"/>
      <c r="G61" s="133"/>
      <c r="H61" s="133"/>
      <c r="I61" s="133"/>
      <c r="J61" s="133"/>
      <c r="K61" s="133"/>
      <c r="L61" s="133"/>
      <c r="M61" s="133"/>
      <c r="P61" s="120"/>
      <c r="Q61" s="120"/>
      <c r="R61" s="120"/>
    </row>
    <row r="62" spans="1:18" s="128" customFormat="1" ht="15" customHeight="1" x14ac:dyDescent="0.25">
      <c r="A62" s="120"/>
      <c r="B62" s="120"/>
      <c r="C62" s="120"/>
      <c r="D62" s="120"/>
      <c r="E62" s="120"/>
      <c r="F62" s="133"/>
      <c r="G62" s="133"/>
      <c r="H62" s="133"/>
      <c r="I62" s="133"/>
      <c r="J62" s="133"/>
      <c r="K62" s="133"/>
      <c r="L62" s="133"/>
      <c r="M62" s="133"/>
      <c r="P62" s="120"/>
      <c r="Q62" s="120"/>
      <c r="R62" s="120"/>
    </row>
    <row r="63" spans="1:18" s="128" customFormat="1" ht="15" customHeight="1" x14ac:dyDescent="0.25">
      <c r="A63" s="120"/>
      <c r="B63" s="120"/>
      <c r="C63" s="120"/>
      <c r="D63" s="120"/>
      <c r="E63" s="120"/>
      <c r="F63" s="133"/>
      <c r="G63" s="133"/>
      <c r="H63" s="133"/>
      <c r="I63" s="133"/>
      <c r="J63" s="133"/>
      <c r="K63" s="133"/>
      <c r="L63" s="133"/>
      <c r="M63" s="133"/>
      <c r="P63" s="120"/>
      <c r="Q63" s="120"/>
      <c r="R63" s="120"/>
    </row>
    <row r="64" spans="1:18" s="128" customFormat="1" ht="15" customHeight="1" x14ac:dyDescent="0.25">
      <c r="A64" s="120"/>
      <c r="B64" s="120"/>
      <c r="C64" s="120"/>
      <c r="D64" s="120"/>
      <c r="E64" s="120"/>
      <c r="F64" s="133"/>
      <c r="G64" s="133"/>
      <c r="H64" s="133"/>
      <c r="I64" s="133"/>
      <c r="J64" s="133"/>
      <c r="K64" s="133"/>
      <c r="L64" s="133"/>
      <c r="M64" s="133"/>
      <c r="P64" s="120"/>
      <c r="Q64" s="120"/>
      <c r="R64" s="120"/>
    </row>
    <row r="65" spans="6:15" ht="15" customHeight="1" x14ac:dyDescent="0.25">
      <c r="F65" s="133"/>
      <c r="G65" s="133"/>
      <c r="H65" s="133"/>
      <c r="I65" s="133"/>
      <c r="J65" s="133"/>
      <c r="K65" s="133"/>
      <c r="L65" s="133"/>
      <c r="M65" s="133"/>
      <c r="N65" s="128"/>
      <c r="O65" s="128"/>
    </row>
    <row r="66" spans="6:15" ht="15" customHeight="1" x14ac:dyDescent="0.25">
      <c r="F66" s="133"/>
      <c r="G66" s="133"/>
      <c r="H66" s="133"/>
      <c r="I66" s="133"/>
      <c r="J66" s="133"/>
      <c r="K66" s="133"/>
      <c r="L66" s="133"/>
      <c r="M66" s="133"/>
      <c r="N66" s="128"/>
      <c r="O66" s="128"/>
    </row>
    <row r="67" spans="6:15" ht="15" customHeight="1" x14ac:dyDescent="0.25">
      <c r="F67" s="133"/>
      <c r="G67" s="133"/>
      <c r="H67" s="133"/>
      <c r="I67" s="133"/>
      <c r="J67" s="133"/>
      <c r="K67" s="133"/>
      <c r="L67" s="133"/>
      <c r="M67" s="133"/>
      <c r="N67" s="128"/>
      <c r="O67" s="128"/>
    </row>
    <row r="68" spans="6:15" ht="15" customHeight="1" x14ac:dyDescent="0.25">
      <c r="F68" s="133"/>
      <c r="G68" s="133"/>
      <c r="H68" s="133"/>
      <c r="I68" s="133"/>
      <c r="J68" s="133"/>
      <c r="K68" s="133"/>
      <c r="L68" s="133"/>
      <c r="M68" s="133"/>
      <c r="N68" s="128"/>
      <c r="O68" s="128"/>
    </row>
    <row r="69" spans="6:15" ht="15" customHeight="1" x14ac:dyDescent="0.25">
      <c r="F69" s="133"/>
      <c r="G69" s="133"/>
      <c r="H69" s="133"/>
      <c r="I69" s="133"/>
      <c r="J69" s="133"/>
      <c r="K69" s="133"/>
      <c r="L69" s="133"/>
      <c r="M69" s="133"/>
      <c r="N69" s="128"/>
      <c r="O69" s="128"/>
    </row>
    <row r="70" spans="6:15" ht="15" customHeight="1" x14ac:dyDescent="0.25">
      <c r="F70" s="133"/>
      <c r="G70" s="133"/>
      <c r="H70" s="133"/>
      <c r="I70" s="133"/>
      <c r="J70" s="133"/>
      <c r="K70" s="133"/>
      <c r="L70" s="133"/>
      <c r="M70" s="133"/>
      <c r="N70" s="128"/>
      <c r="O70" s="128"/>
    </row>
    <row r="71" spans="6:15" ht="15" customHeight="1" x14ac:dyDescent="0.25">
      <c r="F71" s="133"/>
      <c r="G71" s="133"/>
      <c r="H71" s="133"/>
      <c r="I71" s="133"/>
      <c r="J71" s="133"/>
      <c r="K71" s="133"/>
      <c r="L71" s="133"/>
      <c r="M71" s="133"/>
      <c r="N71" s="128"/>
      <c r="O71" s="128"/>
    </row>
    <row r="72" spans="6:15" ht="15" customHeight="1" x14ac:dyDescent="0.25">
      <c r="F72" s="133"/>
      <c r="G72" s="133"/>
      <c r="H72" s="133"/>
      <c r="I72" s="133"/>
      <c r="J72" s="133"/>
      <c r="K72" s="133"/>
      <c r="L72" s="133"/>
      <c r="M72" s="133"/>
      <c r="N72" s="128"/>
      <c r="O72" s="128"/>
    </row>
    <row r="73" spans="6:15" ht="15" customHeight="1" x14ac:dyDescent="0.25">
      <c r="F73" s="133"/>
      <c r="G73" s="133"/>
      <c r="H73" s="133"/>
      <c r="I73" s="133"/>
      <c r="J73" s="133"/>
      <c r="K73" s="133"/>
      <c r="L73" s="133"/>
      <c r="M73" s="133"/>
      <c r="N73" s="128"/>
      <c r="O73" s="128"/>
    </row>
    <row r="74" spans="6:15" ht="15" customHeight="1" x14ac:dyDescent="0.25">
      <c r="F74" s="133"/>
      <c r="G74" s="133"/>
      <c r="H74" s="133"/>
      <c r="I74" s="133"/>
      <c r="J74" s="133"/>
      <c r="K74" s="133"/>
      <c r="L74" s="133"/>
      <c r="M74" s="133"/>
      <c r="N74" s="128"/>
      <c r="O74" s="128"/>
    </row>
    <row r="75" spans="6:15" ht="15" customHeight="1" x14ac:dyDescent="0.25">
      <c r="F75" s="133"/>
      <c r="G75" s="133"/>
      <c r="H75" s="133"/>
      <c r="I75" s="133"/>
      <c r="J75" s="133"/>
      <c r="K75" s="133"/>
      <c r="L75" s="133"/>
      <c r="M75" s="133"/>
      <c r="N75" s="128"/>
      <c r="O75" s="128"/>
    </row>
    <row r="76" spans="6:15" ht="15" customHeight="1" x14ac:dyDescent="0.25">
      <c r="F76" s="133"/>
      <c r="G76" s="133"/>
      <c r="H76" s="133"/>
      <c r="I76" s="133"/>
      <c r="J76" s="133"/>
      <c r="K76" s="133"/>
      <c r="L76" s="133"/>
      <c r="M76" s="133"/>
      <c r="N76" s="128"/>
      <c r="O76" s="128"/>
    </row>
    <row r="77" spans="6:15" ht="15" customHeight="1" x14ac:dyDescent="0.25">
      <c r="F77" s="133"/>
      <c r="G77" s="133"/>
      <c r="H77" s="133"/>
      <c r="I77" s="133"/>
      <c r="J77" s="133"/>
      <c r="K77" s="133"/>
      <c r="L77" s="133"/>
      <c r="M77" s="133"/>
      <c r="N77" s="128"/>
      <c r="O77" s="128"/>
    </row>
    <row r="78" spans="6:15" ht="15" customHeight="1" x14ac:dyDescent="0.25">
      <c r="F78" s="165"/>
      <c r="G78" s="165"/>
      <c r="H78" s="172"/>
      <c r="I78" s="166"/>
      <c r="J78" s="166"/>
      <c r="K78" s="166"/>
      <c r="L78" s="166"/>
      <c r="M78" s="166"/>
      <c r="N78" s="166"/>
      <c r="O78" s="166"/>
    </row>
    <row r="79" spans="6:15" ht="15" customHeight="1" x14ac:dyDescent="0.25">
      <c r="F79" s="165"/>
      <c r="G79" s="165"/>
      <c r="H79" s="172"/>
      <c r="I79" s="166"/>
      <c r="J79" s="166"/>
      <c r="K79" s="166"/>
      <c r="L79" s="166"/>
      <c r="M79" s="166"/>
      <c r="N79" s="166"/>
      <c r="O79" s="166"/>
    </row>
    <row r="80" spans="6:15" ht="15" customHeight="1" x14ac:dyDescent="0.25">
      <c r="F80" s="165"/>
      <c r="G80" s="165"/>
      <c r="H80" s="172"/>
      <c r="I80" s="166"/>
      <c r="J80" s="165"/>
      <c r="K80" s="165"/>
      <c r="L80" s="165"/>
      <c r="M80" s="165"/>
      <c r="N80" s="165"/>
      <c r="O80" s="165"/>
    </row>
    <row r="81" spans="1:18" ht="15" customHeight="1" x14ac:dyDescent="0.25">
      <c r="F81" s="165"/>
      <c r="G81" s="165"/>
      <c r="H81" s="164"/>
      <c r="I81" s="167"/>
      <c r="J81" s="167"/>
      <c r="K81" s="167"/>
      <c r="L81" s="167"/>
      <c r="M81" s="167"/>
      <c r="N81" s="167"/>
      <c r="O81" s="167"/>
    </row>
    <row r="82" spans="1:18" ht="15" customHeight="1" x14ac:dyDescent="0.25">
      <c r="F82" s="165"/>
      <c r="G82" s="165"/>
      <c r="H82" s="164"/>
      <c r="I82" s="167"/>
      <c r="J82" s="167"/>
      <c r="K82" s="167"/>
      <c r="L82" s="167"/>
      <c r="M82" s="167"/>
      <c r="N82" s="167"/>
      <c r="O82" s="167"/>
    </row>
    <row r="83" spans="1:18" ht="15" customHeight="1" thickBot="1" x14ac:dyDescent="0.3">
      <c r="F83" s="165"/>
      <c r="G83" s="165"/>
      <c r="H83" s="164"/>
      <c r="I83" s="167"/>
      <c r="J83" s="167"/>
      <c r="K83" s="167"/>
      <c r="L83" s="167"/>
      <c r="M83" s="167"/>
      <c r="N83" s="167"/>
      <c r="O83" s="167"/>
    </row>
    <row r="84" spans="1:18" ht="15" customHeight="1" x14ac:dyDescent="0.25">
      <c r="F84" s="165"/>
      <c r="G84" s="165"/>
      <c r="H84" s="244"/>
      <c r="I84" s="182"/>
      <c r="J84" s="182"/>
      <c r="K84" s="182"/>
      <c r="L84" s="183"/>
      <c r="M84" s="167"/>
      <c r="N84" s="167"/>
      <c r="O84" s="167"/>
    </row>
    <row r="85" spans="1:18" ht="15" customHeight="1" x14ac:dyDescent="0.25">
      <c r="F85" s="165"/>
      <c r="G85" s="165"/>
      <c r="H85" s="245"/>
      <c r="I85" s="167"/>
      <c r="J85" s="167"/>
      <c r="K85" s="167"/>
      <c r="L85" s="184"/>
      <c r="M85" s="167"/>
      <c r="N85" s="167"/>
      <c r="O85" s="167"/>
    </row>
    <row r="86" spans="1:18" ht="15" customHeight="1" x14ac:dyDescent="0.25">
      <c r="F86" s="165"/>
      <c r="G86" s="165"/>
      <c r="H86" s="245"/>
      <c r="I86" s="167"/>
      <c r="J86" s="167"/>
      <c r="K86" s="167"/>
      <c r="L86" s="184"/>
      <c r="M86" s="167"/>
      <c r="N86" s="167"/>
      <c r="O86" s="167"/>
    </row>
    <row r="87" spans="1:18" ht="15" customHeight="1" x14ac:dyDescent="0.25">
      <c r="F87" s="165"/>
      <c r="G87" s="165"/>
      <c r="H87" s="245"/>
      <c r="I87" s="167"/>
      <c r="J87" s="167"/>
      <c r="K87" s="167"/>
      <c r="L87" s="184"/>
      <c r="M87" s="167"/>
      <c r="N87" s="167"/>
      <c r="O87" s="167"/>
    </row>
    <row r="88" spans="1:18" ht="15" customHeight="1" thickBot="1" x14ac:dyDescent="0.3">
      <c r="F88" s="128"/>
      <c r="G88" s="128"/>
      <c r="H88" s="246"/>
      <c r="I88" s="185"/>
      <c r="J88" s="185"/>
      <c r="K88" s="185"/>
      <c r="L88" s="186"/>
      <c r="M88" s="133"/>
      <c r="N88" s="128"/>
      <c r="O88" s="128"/>
    </row>
    <row r="89" spans="1:18" s="128" customFormat="1" ht="15" customHeight="1" x14ac:dyDescent="0.25">
      <c r="A89" s="120"/>
      <c r="B89" s="120"/>
      <c r="C89" s="120"/>
      <c r="D89" s="120"/>
      <c r="E89" s="120"/>
      <c r="F89" s="133"/>
      <c r="G89" s="133"/>
      <c r="H89" s="133"/>
      <c r="I89" s="133"/>
      <c r="J89" s="133"/>
      <c r="K89" s="133"/>
      <c r="L89" s="133"/>
      <c r="M89" s="133"/>
      <c r="P89" s="120"/>
      <c r="Q89" s="120"/>
      <c r="R89" s="120"/>
    </row>
    <row r="90" spans="1:18" s="128" customFormat="1" ht="15" customHeight="1" x14ac:dyDescent="0.25">
      <c r="A90" s="123"/>
      <c r="B90" s="123"/>
      <c r="C90" s="123"/>
      <c r="D90" s="123"/>
      <c r="E90" s="120"/>
      <c r="F90" s="133"/>
      <c r="G90" s="133"/>
      <c r="H90" s="133"/>
      <c r="I90" s="133"/>
      <c r="J90" s="133"/>
      <c r="K90" s="133"/>
      <c r="L90" s="133"/>
      <c r="M90" s="133"/>
      <c r="P90" s="120"/>
      <c r="Q90" s="120"/>
      <c r="R90" s="120"/>
    </row>
    <row r="91" spans="1:18" s="128" customFormat="1" ht="15" customHeight="1" x14ac:dyDescent="0.25">
      <c r="A91" s="123"/>
      <c r="B91" s="123"/>
      <c r="C91" s="123"/>
      <c r="D91" s="123"/>
      <c r="E91" s="120"/>
      <c r="F91" s="150"/>
      <c r="G91" s="150"/>
      <c r="H91" s="150"/>
      <c r="I91" s="150"/>
      <c r="J91" s="150"/>
      <c r="K91" s="150"/>
      <c r="L91" s="150"/>
      <c r="M91" s="150"/>
      <c r="N91" s="99"/>
      <c r="O91" s="99"/>
      <c r="P91" s="120"/>
      <c r="Q91" s="120"/>
      <c r="R91" s="120"/>
    </row>
    <row r="92" spans="1:18" s="128" customFormat="1" ht="15" customHeight="1" x14ac:dyDescent="0.25">
      <c r="A92" s="123"/>
      <c r="B92" s="123"/>
      <c r="C92" s="123"/>
      <c r="D92" s="123"/>
      <c r="E92" s="120"/>
      <c r="F92" s="99"/>
      <c r="G92" s="99"/>
      <c r="H92" s="236"/>
      <c r="I92" s="236"/>
      <c r="J92" s="236"/>
      <c r="K92" s="236"/>
      <c r="L92" s="99"/>
      <c r="M92" s="99"/>
      <c r="N92" s="99"/>
      <c r="O92" s="99"/>
      <c r="P92" s="120"/>
      <c r="Q92" s="120"/>
      <c r="R92" s="120"/>
    </row>
    <row r="93" spans="1:18" s="128" customFormat="1" ht="15" customHeight="1" x14ac:dyDescent="0.25">
      <c r="A93" s="123"/>
      <c r="B93" s="123"/>
      <c r="C93" s="123"/>
      <c r="D93" s="123"/>
      <c r="E93" s="120"/>
      <c r="H93" s="131"/>
      <c r="I93" s="131"/>
      <c r="J93" s="131"/>
      <c r="K93" s="131"/>
      <c r="P93" s="120"/>
      <c r="Q93" s="120"/>
      <c r="R93" s="120"/>
    </row>
    <row r="94" spans="1:18" s="128" customFormat="1" ht="15" customHeight="1" x14ac:dyDescent="0.25">
      <c r="A94" s="123"/>
      <c r="B94" s="123"/>
      <c r="C94" s="123"/>
      <c r="D94" s="123"/>
      <c r="E94" s="120"/>
      <c r="H94" s="131"/>
      <c r="I94" s="131"/>
      <c r="J94" s="131"/>
      <c r="K94" s="131"/>
      <c r="P94" s="120"/>
      <c r="Q94" s="120"/>
      <c r="R94" s="120"/>
    </row>
    <row r="95" spans="1:18" s="128" customFormat="1" ht="15" hidden="1" customHeight="1" x14ac:dyDescent="0.25">
      <c r="A95" s="123"/>
      <c r="B95" s="123"/>
      <c r="C95" s="123"/>
      <c r="D95" s="123"/>
      <c r="E95" s="120"/>
      <c r="F95" s="120"/>
      <c r="G95" s="120"/>
      <c r="H95" s="122"/>
      <c r="I95" s="122"/>
      <c r="J95" s="122"/>
      <c r="K95" s="122"/>
      <c r="L95" s="120"/>
      <c r="M95" s="120"/>
      <c r="N95" s="120"/>
      <c r="O95" s="120"/>
      <c r="P95" s="120"/>
      <c r="Q95" s="120"/>
      <c r="R95" s="120"/>
    </row>
  </sheetData>
  <sheetProtection algorithmName="SHA-512" hashValue="3YGuAJViBAwZeJPeKgo4o267Rp948zmi7iUknYwP7QHgGlJ/5fVF0e2msO6MPym7sFa74PnhAoiEn8XhBlTd1g==" saltValue="VPXogY5ruJ8HV6pSnuPT3w==" spinCount="100000" sheet="1" objects="1" scenarios="1" selectLockedCells="1"/>
  <mergeCells count="36">
    <mergeCell ref="F40:O43"/>
    <mergeCell ref="F49:O52"/>
    <mergeCell ref="K33:M33"/>
    <mergeCell ref="K34:M34"/>
    <mergeCell ref="K35:M35"/>
    <mergeCell ref="K36:M36"/>
    <mergeCell ref="K37:M37"/>
    <mergeCell ref="K38:M38"/>
    <mergeCell ref="K32:M32"/>
    <mergeCell ref="F19:G20"/>
    <mergeCell ref="H19:H20"/>
    <mergeCell ref="I19:O20"/>
    <mergeCell ref="F21:G22"/>
    <mergeCell ref="H21:H22"/>
    <mergeCell ref="I21:O22"/>
    <mergeCell ref="K27:M27"/>
    <mergeCell ref="K28:M28"/>
    <mergeCell ref="K29:M29"/>
    <mergeCell ref="K30:M30"/>
    <mergeCell ref="K31:M31"/>
    <mergeCell ref="P1:XFD22"/>
    <mergeCell ref="A25:E30"/>
    <mergeCell ref="A13:E18"/>
    <mergeCell ref="I17:O18"/>
    <mergeCell ref="F17:G18"/>
    <mergeCell ref="F15:G16"/>
    <mergeCell ref="H15:H16"/>
    <mergeCell ref="H17:H18"/>
    <mergeCell ref="F9:O11"/>
    <mergeCell ref="I12:O16"/>
    <mergeCell ref="A19:E24"/>
    <mergeCell ref="A1:E6"/>
    <mergeCell ref="A7:E12"/>
    <mergeCell ref="F12:G12"/>
    <mergeCell ref="F13:G13"/>
    <mergeCell ref="F14:G14"/>
  </mergeCells>
  <dataValidations disablePrompts="1" count="1">
    <dataValidation type="list" allowBlank="1" showInputMessage="1" showErrorMessage="1" sqref="H78" xr:uid="{473B24FD-B085-487A-8666-9B001E683959}">
      <formula1>"Zona Verde, Zona Peatonal,Parqueadero,Zona Vehicular"</formula1>
    </dataValidation>
  </dataValidations>
  <pageMargins left="0.7" right="0.7" top="0.75" bottom="0.75" header="0.3" footer="0.3"/>
  <pageSetup orientation="portrait" r:id="rId1"/>
  <ignoredErrors>
    <ignoredError sqref="H17"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A6F45-F4C6-4E06-A16F-243F3EBC28D3}">
  <sheetPr codeName="Hoja19">
    <pageSetUpPr autoPageBreaks="0"/>
  </sheetPr>
  <dimension ref="A1:S116"/>
  <sheetViews>
    <sheetView showGridLines="0" showRowColHeaders="0" zoomScale="80" zoomScaleNormal="80" workbookViewId="0">
      <selection activeCell="H17" sqref="H17"/>
    </sheetView>
  </sheetViews>
  <sheetFormatPr baseColWidth="10" defaultColWidth="0" defaultRowHeight="15" zeroHeight="1" x14ac:dyDescent="0.25"/>
  <cols>
    <col min="1" max="17" width="11.42578125" style="120" customWidth="1"/>
    <col min="18" max="18" width="15.85546875" style="120" customWidth="1"/>
    <col min="19" max="21" width="11.42578125" style="120" hidden="1" customWidth="1"/>
    <col min="22" max="16384" width="11.42578125" style="120" hidden="1"/>
  </cols>
  <sheetData>
    <row r="1" spans="1:19" ht="15" customHeight="1" x14ac:dyDescent="0.95">
      <c r="A1" s="299" t="s">
        <v>78</v>
      </c>
      <c r="B1" s="299"/>
      <c r="C1" s="299"/>
      <c r="D1" s="299"/>
      <c r="E1" s="299"/>
      <c r="F1" s="128"/>
      <c r="G1" s="128"/>
      <c r="H1" s="128"/>
      <c r="I1" s="128"/>
      <c r="J1" s="128"/>
      <c r="K1" s="128"/>
      <c r="L1" s="128"/>
      <c r="M1" s="128"/>
      <c r="N1" s="128"/>
      <c r="O1" s="128"/>
      <c r="P1" s="310" t="s">
        <v>1</v>
      </c>
      <c r="Q1" s="310"/>
      <c r="R1" s="310"/>
      <c r="S1" s="121"/>
    </row>
    <row r="2" spans="1:19" ht="15" customHeight="1" x14ac:dyDescent="0.95">
      <c r="A2" s="299"/>
      <c r="B2" s="299"/>
      <c r="C2" s="299"/>
      <c r="D2" s="299"/>
      <c r="E2" s="299"/>
      <c r="F2" s="128"/>
      <c r="G2" s="128"/>
      <c r="H2" s="128"/>
      <c r="I2" s="128"/>
      <c r="J2" s="128"/>
      <c r="K2" s="128"/>
      <c r="L2" s="128"/>
      <c r="M2" s="128"/>
      <c r="N2" s="128"/>
      <c r="O2" s="147"/>
      <c r="P2" s="310"/>
      <c r="Q2" s="310"/>
      <c r="R2" s="310"/>
      <c r="S2" s="121"/>
    </row>
    <row r="3" spans="1:19" ht="15" customHeight="1" x14ac:dyDescent="0.95">
      <c r="A3" s="299"/>
      <c r="B3" s="299"/>
      <c r="C3" s="299"/>
      <c r="D3" s="299"/>
      <c r="E3" s="299"/>
      <c r="F3" s="128"/>
      <c r="G3" s="128"/>
      <c r="H3" s="128"/>
      <c r="I3" s="128"/>
      <c r="J3" s="128"/>
      <c r="K3" s="128"/>
      <c r="L3" s="128"/>
      <c r="M3" s="128"/>
      <c r="N3" s="128"/>
      <c r="O3" s="147"/>
      <c r="P3" s="310"/>
      <c r="Q3" s="310"/>
      <c r="R3" s="310"/>
      <c r="S3" s="121"/>
    </row>
    <row r="4" spans="1:19" ht="15" customHeight="1" x14ac:dyDescent="0.95">
      <c r="A4" s="299"/>
      <c r="B4" s="299"/>
      <c r="C4" s="299"/>
      <c r="D4" s="299"/>
      <c r="E4" s="299"/>
      <c r="F4" s="128"/>
      <c r="G4" s="128"/>
      <c r="H4" s="128"/>
      <c r="I4" s="128"/>
      <c r="J4" s="128"/>
      <c r="K4" s="128"/>
      <c r="L4" s="128"/>
      <c r="M4" s="128"/>
      <c r="N4" s="128"/>
      <c r="O4" s="147"/>
      <c r="P4" s="310"/>
      <c r="Q4" s="310"/>
      <c r="R4" s="310"/>
      <c r="S4" s="121"/>
    </row>
    <row r="5" spans="1:19" ht="15" customHeight="1" x14ac:dyDescent="0.95">
      <c r="A5" s="299"/>
      <c r="B5" s="299"/>
      <c r="C5" s="299"/>
      <c r="D5" s="299"/>
      <c r="E5" s="299"/>
      <c r="F5" s="128"/>
      <c r="G5" s="128"/>
      <c r="H5" s="128"/>
      <c r="I5" s="128"/>
      <c r="J5" s="128"/>
      <c r="K5" s="128"/>
      <c r="L5" s="128"/>
      <c r="M5" s="128"/>
      <c r="N5" s="128"/>
      <c r="O5" s="147"/>
      <c r="P5" s="310"/>
      <c r="Q5" s="310"/>
      <c r="R5" s="310"/>
      <c r="S5" s="121"/>
    </row>
    <row r="6" spans="1:19" ht="15" customHeight="1" x14ac:dyDescent="0.95">
      <c r="A6" s="299"/>
      <c r="B6" s="299"/>
      <c r="C6" s="299"/>
      <c r="D6" s="299"/>
      <c r="E6" s="299"/>
      <c r="F6" s="99"/>
      <c r="G6" s="99"/>
      <c r="H6" s="99"/>
      <c r="I6" s="99"/>
      <c r="J6" s="99"/>
      <c r="K6" s="99"/>
      <c r="L6" s="99"/>
      <c r="M6" s="99"/>
      <c r="N6" s="99"/>
      <c r="O6" s="148"/>
      <c r="P6" s="310"/>
      <c r="Q6" s="310"/>
      <c r="R6" s="310"/>
      <c r="S6" s="121"/>
    </row>
    <row r="7" spans="1:19" ht="15" customHeight="1" x14ac:dyDescent="0.95">
      <c r="A7" s="299" t="s">
        <v>63</v>
      </c>
      <c r="B7" s="299"/>
      <c r="C7" s="299"/>
      <c r="D7" s="299"/>
      <c r="E7" s="299"/>
      <c r="F7" s="99"/>
      <c r="G7" s="99"/>
      <c r="H7" s="99"/>
      <c r="I7" s="99"/>
      <c r="J7" s="99"/>
      <c r="K7" s="99"/>
      <c r="L7" s="99"/>
      <c r="M7" s="99"/>
      <c r="N7" s="99"/>
      <c r="O7" s="148"/>
      <c r="P7" s="310"/>
      <c r="Q7" s="310"/>
      <c r="R7" s="310"/>
      <c r="S7" s="121"/>
    </row>
    <row r="8" spans="1:19" ht="15" customHeight="1" x14ac:dyDescent="0.95">
      <c r="A8" s="299"/>
      <c r="B8" s="299"/>
      <c r="C8" s="299"/>
      <c r="D8" s="299"/>
      <c r="E8" s="299"/>
      <c r="F8" s="99"/>
      <c r="G8" s="99"/>
      <c r="H8" s="99"/>
      <c r="I8" s="99"/>
      <c r="J8" s="99"/>
      <c r="K8" s="99"/>
      <c r="L8" s="99"/>
      <c r="M8" s="99"/>
      <c r="N8" s="99"/>
      <c r="O8" s="148"/>
      <c r="P8" s="310"/>
      <c r="Q8" s="310"/>
      <c r="R8" s="310"/>
      <c r="S8" s="121"/>
    </row>
    <row r="9" spans="1:19" ht="15" customHeight="1" x14ac:dyDescent="0.95">
      <c r="A9" s="299"/>
      <c r="B9" s="299"/>
      <c r="C9" s="299"/>
      <c r="D9" s="299"/>
      <c r="E9" s="299"/>
      <c r="F9" s="403" t="s">
        <v>2768</v>
      </c>
      <c r="G9" s="403"/>
      <c r="H9" s="403"/>
      <c r="I9" s="403"/>
      <c r="J9" s="403"/>
      <c r="K9" s="403"/>
      <c r="L9" s="403"/>
      <c r="M9" s="403"/>
      <c r="N9" s="403"/>
      <c r="O9" s="403"/>
      <c r="P9" s="310"/>
      <c r="Q9" s="310"/>
      <c r="R9" s="310"/>
      <c r="S9" s="121"/>
    </row>
    <row r="10" spans="1:19" ht="15" customHeight="1" x14ac:dyDescent="0.95">
      <c r="A10" s="299"/>
      <c r="B10" s="299"/>
      <c r="C10" s="299"/>
      <c r="D10" s="299"/>
      <c r="E10" s="299"/>
      <c r="F10" s="403"/>
      <c r="G10" s="403"/>
      <c r="H10" s="403"/>
      <c r="I10" s="403"/>
      <c r="J10" s="403"/>
      <c r="K10" s="403"/>
      <c r="L10" s="403"/>
      <c r="M10" s="403"/>
      <c r="N10" s="403"/>
      <c r="O10" s="403"/>
      <c r="P10" s="310"/>
      <c r="Q10" s="310"/>
      <c r="R10" s="310"/>
      <c r="S10" s="121"/>
    </row>
    <row r="11" spans="1:19" ht="15" customHeight="1" x14ac:dyDescent="0.25">
      <c r="A11" s="299"/>
      <c r="B11" s="299"/>
      <c r="C11" s="299"/>
      <c r="D11" s="299"/>
      <c r="E11" s="299"/>
      <c r="F11" s="403"/>
      <c r="G11" s="403"/>
      <c r="H11" s="403"/>
      <c r="I11" s="403"/>
      <c r="J11" s="403"/>
      <c r="K11" s="403"/>
      <c r="L11" s="403"/>
      <c r="M11" s="403"/>
      <c r="N11" s="403"/>
      <c r="O11" s="403"/>
      <c r="P11" s="310"/>
      <c r="Q11" s="310"/>
      <c r="R11" s="310"/>
    </row>
    <row r="12" spans="1:19" ht="15" customHeight="1" x14ac:dyDescent="0.25">
      <c r="A12" s="299"/>
      <c r="B12" s="299"/>
      <c r="C12" s="299"/>
      <c r="D12" s="299"/>
      <c r="E12" s="299"/>
      <c r="F12" s="317" t="s">
        <v>79</v>
      </c>
      <c r="G12" s="318"/>
      <c r="H12" s="188">
        <f>IF('DATOS DEL PROYECTO'!I38="No",DIMENSIONAMIENTO!H89,DIMENSIONAMIENTO_2!H21)</f>
        <v>0</v>
      </c>
      <c r="I12" s="404" t="s">
        <v>80</v>
      </c>
      <c r="J12" s="385"/>
      <c r="K12" s="385"/>
      <c r="L12" s="385"/>
      <c r="M12" s="385"/>
      <c r="N12" s="385"/>
      <c r="O12" s="385"/>
      <c r="P12" s="310"/>
      <c r="Q12" s="310"/>
      <c r="R12" s="310"/>
    </row>
    <row r="13" spans="1:19" ht="15" customHeight="1" x14ac:dyDescent="0.25">
      <c r="A13" s="299" t="s">
        <v>81</v>
      </c>
      <c r="B13" s="299"/>
      <c r="C13" s="299"/>
      <c r="D13" s="299"/>
      <c r="E13" s="299"/>
      <c r="F13" s="317" t="s">
        <v>82</v>
      </c>
      <c r="G13" s="318"/>
      <c r="H13" s="188">
        <f>IF('DATOS DEL PROYECTO'!I38="No",DIMENSIONAMIENTO!H88,DIMENSIONAMIENTO_2!H20)</f>
        <v>0</v>
      </c>
      <c r="I13" s="405"/>
      <c r="J13" s="336"/>
      <c r="K13" s="336"/>
      <c r="L13" s="336"/>
      <c r="M13" s="336"/>
      <c r="N13" s="336"/>
      <c r="O13" s="336"/>
      <c r="P13" s="310"/>
      <c r="Q13" s="310"/>
      <c r="R13" s="310"/>
    </row>
    <row r="14" spans="1:19" ht="15" customHeight="1" x14ac:dyDescent="0.25">
      <c r="A14" s="299"/>
      <c r="B14" s="299"/>
      <c r="C14" s="299"/>
      <c r="D14" s="299"/>
      <c r="E14" s="299"/>
      <c r="F14" s="317" t="s">
        <v>83</v>
      </c>
      <c r="G14" s="318"/>
      <c r="H14" s="188" t="str">
        <f>IF('DATOS DEL PROYECTO'!I38="No",DIMENSIONAMIENTO!H87,DIMENSIONAMIENTO_2!H19)</f>
        <v/>
      </c>
      <c r="I14" s="405"/>
      <c r="J14" s="336"/>
      <c r="K14" s="336"/>
      <c r="L14" s="336"/>
      <c r="M14" s="336"/>
      <c r="N14" s="336"/>
      <c r="O14" s="336"/>
      <c r="P14" s="310"/>
      <c r="Q14" s="310"/>
      <c r="R14" s="310"/>
    </row>
    <row r="15" spans="1:19" ht="15" customHeight="1" x14ac:dyDescent="0.25">
      <c r="A15" s="299"/>
      <c r="B15" s="299"/>
      <c r="C15" s="299"/>
      <c r="D15" s="299"/>
      <c r="E15" s="299"/>
      <c r="F15" s="317" t="s">
        <v>84</v>
      </c>
      <c r="G15" s="318"/>
      <c r="H15" s="195">
        <f>+H12*H13</f>
        <v>0</v>
      </c>
      <c r="I15" s="406"/>
      <c r="J15" s="386"/>
      <c r="K15" s="386"/>
      <c r="L15" s="386"/>
      <c r="M15" s="386"/>
      <c r="N15" s="386"/>
      <c r="O15" s="386"/>
      <c r="P15" s="310"/>
      <c r="Q15" s="310"/>
      <c r="R15" s="310"/>
    </row>
    <row r="16" spans="1:19" ht="15" customHeight="1" x14ac:dyDescent="0.25">
      <c r="A16" s="299"/>
      <c r="B16" s="299"/>
      <c r="C16" s="299"/>
      <c r="D16" s="299"/>
      <c r="E16" s="299"/>
      <c r="F16" s="317" t="s">
        <v>85</v>
      </c>
      <c r="G16" s="318"/>
      <c r="H16" s="188">
        <f>IF('DATOS DEL PROYECTO'!I38="No",DIMENSIONAMIENTO!H11,DIMENSIONAMIENTO_2!H11)</f>
        <v>0</v>
      </c>
      <c r="I16" s="320" t="s">
        <v>86</v>
      </c>
      <c r="J16" s="390"/>
      <c r="K16" s="390"/>
      <c r="L16" s="390"/>
      <c r="M16" s="390"/>
      <c r="N16" s="390"/>
      <c r="O16" s="390"/>
      <c r="P16" s="310"/>
      <c r="Q16" s="310"/>
      <c r="R16" s="310"/>
    </row>
    <row r="17" spans="1:18" ht="15" customHeight="1" x14ac:dyDescent="0.25">
      <c r="A17" s="299"/>
      <c r="B17" s="299"/>
      <c r="C17" s="299"/>
      <c r="D17" s="299"/>
      <c r="E17" s="299"/>
      <c r="F17" s="317" t="s">
        <v>87</v>
      </c>
      <c r="G17" s="318"/>
      <c r="H17" s="228"/>
      <c r="I17" s="320" t="s">
        <v>88</v>
      </c>
      <c r="J17" s="390"/>
      <c r="K17" s="390"/>
      <c r="L17" s="390"/>
      <c r="M17" s="390"/>
      <c r="N17" s="390"/>
      <c r="O17" s="390"/>
      <c r="P17" s="310"/>
      <c r="Q17" s="310"/>
      <c r="R17" s="310"/>
    </row>
    <row r="18" spans="1:18" ht="15" customHeight="1" x14ac:dyDescent="0.25">
      <c r="A18" s="299"/>
      <c r="B18" s="299"/>
      <c r="C18" s="299"/>
      <c r="D18" s="299"/>
      <c r="E18" s="299"/>
      <c r="F18" s="99"/>
      <c r="G18" s="99"/>
      <c r="H18" s="99"/>
      <c r="I18" s="99"/>
      <c r="J18" s="99"/>
      <c r="K18" s="99"/>
      <c r="L18" s="99"/>
      <c r="M18" s="99"/>
      <c r="N18" s="99"/>
      <c r="O18" s="99"/>
      <c r="P18" s="310"/>
      <c r="Q18" s="310"/>
      <c r="R18" s="310"/>
    </row>
    <row r="19" spans="1:18" ht="15" customHeight="1" x14ac:dyDescent="0.25">
      <c r="A19" s="407"/>
      <c r="B19" s="407"/>
      <c r="C19" s="407"/>
      <c r="D19" s="407"/>
      <c r="E19" s="407"/>
      <c r="F19" s="99"/>
      <c r="G19" s="99"/>
      <c r="H19" s="99"/>
      <c r="I19" s="99"/>
      <c r="J19" s="99"/>
      <c r="K19" s="99"/>
      <c r="L19" s="99"/>
      <c r="M19" s="99"/>
      <c r="N19" s="99"/>
      <c r="O19" s="99"/>
      <c r="P19" s="310"/>
      <c r="Q19" s="310"/>
      <c r="R19" s="310"/>
    </row>
    <row r="20" spans="1:18" ht="15" customHeight="1" x14ac:dyDescent="0.25">
      <c r="A20" s="407"/>
      <c r="B20" s="407"/>
      <c r="C20" s="407"/>
      <c r="D20" s="407"/>
      <c r="E20" s="407"/>
      <c r="F20" s="99"/>
      <c r="G20" s="99"/>
      <c r="H20" s="99"/>
      <c r="I20" s="99"/>
      <c r="J20" s="99"/>
      <c r="K20" s="99"/>
      <c r="L20" s="99"/>
      <c r="M20" s="99"/>
      <c r="N20" s="99"/>
      <c r="O20" s="99"/>
      <c r="P20" s="310"/>
      <c r="Q20" s="310"/>
      <c r="R20" s="310"/>
    </row>
    <row r="21" spans="1:18" ht="15" customHeight="1" x14ac:dyDescent="0.25">
      <c r="A21" s="407"/>
      <c r="B21" s="407"/>
      <c r="C21" s="407"/>
      <c r="D21" s="407"/>
      <c r="E21" s="407"/>
      <c r="F21" s="393" t="s">
        <v>89</v>
      </c>
      <c r="G21" s="327"/>
      <c r="H21" s="327"/>
      <c r="I21" s="327"/>
      <c r="J21" s="339"/>
      <c r="K21" s="339"/>
      <c r="L21" s="394"/>
      <c r="M21" s="391"/>
      <c r="N21" s="391"/>
      <c r="O21" s="392"/>
      <c r="P21" s="310"/>
      <c r="Q21" s="310"/>
      <c r="R21" s="310"/>
    </row>
    <row r="22" spans="1:18" ht="15" customHeight="1" x14ac:dyDescent="0.25">
      <c r="A22" s="407"/>
      <c r="B22" s="407"/>
      <c r="C22" s="407"/>
      <c r="D22" s="407"/>
      <c r="E22" s="407"/>
      <c r="F22" s="393" t="s">
        <v>90</v>
      </c>
      <c r="G22" s="327"/>
      <c r="H22" s="327"/>
      <c r="I22" s="327"/>
      <c r="J22" s="339"/>
      <c r="K22" s="339"/>
      <c r="L22" s="394"/>
      <c r="M22" s="391"/>
      <c r="N22" s="391"/>
      <c r="O22" s="392"/>
      <c r="P22" s="310"/>
      <c r="Q22" s="310"/>
      <c r="R22" s="310"/>
    </row>
    <row r="23" spans="1:18" ht="15" customHeight="1" x14ac:dyDescent="0.25">
      <c r="A23" s="407"/>
      <c r="B23" s="407"/>
      <c r="C23" s="407"/>
      <c r="D23" s="407"/>
      <c r="E23" s="407"/>
      <c r="F23" s="393" t="s">
        <v>91</v>
      </c>
      <c r="G23" s="327"/>
      <c r="H23" s="327"/>
      <c r="I23" s="327"/>
      <c r="J23" s="395" t="str">
        <f>_xlfn.IFNA(INDEX(TABLAS_INF!I4:K6,MATCH(H16,TABLAS_INF!G4:G6,1),MATCH(J22,TABLAS_INF!I1:K1,0)),"")</f>
        <v/>
      </c>
      <c r="K23" s="395"/>
      <c r="L23" s="396"/>
      <c r="M23" s="391"/>
      <c r="N23" s="391"/>
      <c r="O23" s="392"/>
      <c r="P23" s="242"/>
      <c r="Q23" s="242"/>
      <c r="R23" s="242"/>
    </row>
    <row r="24" spans="1:18" ht="15" customHeight="1" x14ac:dyDescent="0.25">
      <c r="A24" s="408"/>
      <c r="B24" s="408"/>
      <c r="C24" s="408"/>
      <c r="D24" s="408"/>
      <c r="E24" s="408"/>
      <c r="F24" s="393" t="s">
        <v>92</v>
      </c>
      <c r="G24" s="327"/>
      <c r="H24" s="327"/>
      <c r="I24" s="327"/>
      <c r="J24" s="395">
        <f>IFERROR(J21*3600,"")</f>
        <v>0</v>
      </c>
      <c r="K24" s="395"/>
      <c r="L24" s="396"/>
      <c r="M24" s="391"/>
      <c r="N24" s="391"/>
      <c r="O24" s="392"/>
      <c r="P24" s="242"/>
      <c r="Q24" s="242"/>
      <c r="R24" s="242"/>
    </row>
    <row r="25" spans="1:18" ht="15" customHeight="1" x14ac:dyDescent="0.25">
      <c r="A25" s="408"/>
      <c r="B25" s="408"/>
      <c r="C25" s="408"/>
      <c r="D25" s="408"/>
      <c r="E25" s="408"/>
      <c r="F25" s="393" t="s">
        <v>93</v>
      </c>
      <c r="G25" s="327"/>
      <c r="H25" s="327"/>
      <c r="I25" s="327"/>
      <c r="J25" s="395" t="str">
        <f>IFERROR(J24/J23,"")</f>
        <v/>
      </c>
      <c r="K25" s="395"/>
      <c r="L25" s="396"/>
      <c r="M25" s="391"/>
      <c r="N25" s="391"/>
      <c r="O25" s="392"/>
    </row>
    <row r="26" spans="1:18" ht="15" customHeight="1" x14ac:dyDescent="0.25">
      <c r="A26" s="408"/>
      <c r="B26" s="408"/>
      <c r="C26" s="408"/>
      <c r="D26" s="408"/>
      <c r="E26" s="408"/>
      <c r="F26" s="99"/>
      <c r="G26" s="99"/>
      <c r="H26" s="99"/>
      <c r="I26" s="99"/>
      <c r="J26" s="99"/>
      <c r="K26" s="99"/>
      <c r="L26" s="99"/>
      <c r="M26" s="99"/>
      <c r="N26" s="99"/>
      <c r="O26" s="99"/>
    </row>
    <row r="27" spans="1:18" ht="15" customHeight="1" x14ac:dyDescent="0.25">
      <c r="A27" s="408"/>
      <c r="B27" s="408"/>
      <c r="C27" s="408"/>
      <c r="D27" s="408"/>
      <c r="E27" s="408"/>
      <c r="F27" s="99"/>
      <c r="G27" s="99"/>
      <c r="H27" s="99"/>
      <c r="I27" s="99"/>
      <c r="J27" s="99"/>
      <c r="K27" s="99"/>
      <c r="L27" s="99"/>
      <c r="M27" s="99"/>
      <c r="N27" s="99"/>
      <c r="O27" s="99"/>
    </row>
    <row r="28" spans="1:18" ht="15" customHeight="1" x14ac:dyDescent="0.25">
      <c r="A28" s="408"/>
      <c r="B28" s="408"/>
      <c r="C28" s="408"/>
      <c r="D28" s="408"/>
      <c r="E28" s="408"/>
      <c r="F28" s="99"/>
      <c r="G28" s="99"/>
      <c r="H28" s="99"/>
      <c r="I28" s="99"/>
      <c r="J28" s="99"/>
      <c r="K28" s="99"/>
      <c r="L28" s="99"/>
      <c r="M28" s="99"/>
      <c r="N28" s="99"/>
      <c r="O28" s="99"/>
    </row>
    <row r="29" spans="1:18" x14ac:dyDescent="0.25">
      <c r="A29" s="408"/>
      <c r="B29" s="408"/>
      <c r="C29" s="408"/>
      <c r="D29" s="408"/>
      <c r="E29" s="408"/>
      <c r="F29" s="409" t="s">
        <v>94</v>
      </c>
      <c r="G29" s="409"/>
      <c r="H29" s="393"/>
      <c r="I29" s="188">
        <f>IF('DATOS DEL PROYECTO'!I38="No",DIMENSIONAMIENTO!H12,DIMENSIONAMIENTO_2!H12)</f>
        <v>0</v>
      </c>
      <c r="J29" s="400" t="s">
        <v>2760</v>
      </c>
      <c r="K29" s="401"/>
      <c r="L29" s="401"/>
      <c r="M29" s="401"/>
      <c r="N29" s="401"/>
      <c r="O29" s="402"/>
    </row>
    <row r="30" spans="1:18" ht="15" customHeight="1" x14ac:dyDescent="0.25">
      <c r="F30" s="393" t="s">
        <v>95</v>
      </c>
      <c r="G30" s="327"/>
      <c r="H30" s="327"/>
      <c r="I30" s="228"/>
      <c r="J30" s="320" t="s">
        <v>96</v>
      </c>
      <c r="K30" s="390"/>
      <c r="L30" s="390"/>
      <c r="M30" s="390"/>
      <c r="N30" s="390"/>
      <c r="O30" s="390"/>
    </row>
    <row r="31" spans="1:18" ht="15" customHeight="1" x14ac:dyDescent="0.25">
      <c r="F31" s="133"/>
      <c r="G31" s="133"/>
      <c r="H31" s="133"/>
      <c r="I31" s="168"/>
      <c r="J31" s="168"/>
      <c r="K31" s="169"/>
      <c r="L31" s="170"/>
      <c r="M31" s="171"/>
      <c r="N31" s="152"/>
      <c r="O31" s="196"/>
    </row>
    <row r="32" spans="1:18" ht="15" customHeight="1" x14ac:dyDescent="0.25">
      <c r="C32" s="293"/>
      <c r="F32" s="99"/>
      <c r="G32" s="99"/>
      <c r="H32" s="99"/>
      <c r="I32" s="99"/>
      <c r="J32" s="99"/>
      <c r="K32" s="99"/>
      <c r="L32" s="99"/>
      <c r="M32" s="99"/>
      <c r="N32" s="99"/>
      <c r="O32" s="99"/>
    </row>
    <row r="33" spans="3:15" ht="15" customHeight="1" x14ac:dyDescent="0.25">
      <c r="F33" s="99"/>
      <c r="G33" s="99"/>
      <c r="H33" s="99"/>
      <c r="I33" s="99"/>
      <c r="J33" s="99"/>
      <c r="K33" s="99"/>
      <c r="L33" s="99"/>
      <c r="M33" s="99"/>
      <c r="N33" s="99"/>
      <c r="O33" s="99"/>
    </row>
    <row r="34" spans="3:15" ht="15" customHeight="1" x14ac:dyDescent="0.25">
      <c r="F34" s="99"/>
      <c r="G34" s="99"/>
      <c r="H34" s="99"/>
      <c r="I34" s="99"/>
      <c r="J34" s="99"/>
      <c r="K34" s="99"/>
      <c r="L34" s="99"/>
      <c r="M34" s="99"/>
      <c r="N34" s="99"/>
      <c r="O34" s="99"/>
    </row>
    <row r="35" spans="3:15" ht="15" customHeight="1" x14ac:dyDescent="0.25">
      <c r="F35" s="393" t="s">
        <v>97</v>
      </c>
      <c r="G35" s="327"/>
      <c r="H35" s="327"/>
      <c r="I35" s="188" t="str" cm="1">
        <f t="array" ref="I35">IF(OR(H14="",J21="",J22="",I29="",I30=""),"",IFERROR(Infiltracion(H12,H13,H14,H17,J21,J23,I29,I30,H16),""))</f>
        <v/>
      </c>
      <c r="J35" s="320" t="s">
        <v>98</v>
      </c>
      <c r="K35" s="390"/>
      <c r="L35" s="390"/>
      <c r="M35" s="390"/>
      <c r="N35" s="390"/>
      <c r="O35" s="390"/>
    </row>
    <row r="36" spans="3:15" ht="15" customHeight="1" x14ac:dyDescent="0.25">
      <c r="F36" s="393" t="s">
        <v>99</v>
      </c>
      <c r="G36" s="327"/>
      <c r="H36" s="327"/>
      <c r="I36" s="188" t="str" cm="1">
        <f t="array" ref="I36">IFERROR(Tiempo_Inf(H12,H13,H14,I35,J21,J23),"")</f>
        <v/>
      </c>
      <c r="J36" s="320" t="s">
        <v>100</v>
      </c>
      <c r="K36" s="390"/>
      <c r="L36" s="390"/>
      <c r="M36" s="390"/>
      <c r="N36" s="390"/>
      <c r="O36" s="390"/>
    </row>
    <row r="37" spans="3:15" ht="15" customHeight="1" x14ac:dyDescent="0.25">
      <c r="C37" s="293"/>
      <c r="F37" s="393" t="s">
        <v>2763</v>
      </c>
      <c r="G37" s="327"/>
      <c r="H37" s="327"/>
      <c r="I37" s="294" t="str">
        <f>IFERROR(IF('DATOS DEL PROYECTO'!I38="No",IF(AND(OR('DATOS DEL PROYECTO'!J22="",'DATOS DEL PROYECTO'!J22=0),CALCULOS!B22),IF(H17="","Sondeo",J21*(H17-DIMENSIONAMIENTO!H85)/(H17-(DIMENSIONAMIENTO!H85+DIMENSIONAMIENTO!H87))*H15),IF(AND(CALCULOS!B22,'DATOS DEL PROYECTO'!J22&gt;(DIMENSIONAMIENTO!H85+DIMENSIONAMIENTO!H87)+1),J21*('DATOS DEL PROYECTO'!J22-DIMENSIONAMIENTO!H85)/('DATOS DEL PROYECTO'!J22-(DIMENSIONAMIENTO!H85+DIMENSIONAMIENTO!H87))*H15,"N.F Superficial")),IF(AND(OR('DATOS DEL PROYECTO'!J22="",'DATOS DEL PROYECTO'!J22=0),CALCULOS!B22),IF(H17="","Sondeo",J21*(H17-DIMENSIONAMIENTO_2!H17)/(H17-(DIMENSIONAMIENTO_2!H17+DIMENSIONAMIENTO_2!H19))*H15),IF(AND(CALCULOS!B22,'DATOS DEL PROYECTO'!J22&gt;(DIMENSIONAMIENTO_2!H17+DIMENSIONAMIENTO_2!H19)+1),J21*('DATOS DEL PROYECTO'!J22-DIMENSIONAMIENTO_2!H17)/('DATOS DEL PROYECTO'!J22-(DIMENSIONAMIENTO_2!H17+DIMENSIONAMIENTO_2!H19))*H15,"N.F Superficial"))),"")</f>
        <v/>
      </c>
      <c r="J37" s="320" t="str">
        <f>IF(I37="N.F Superficial","Tu nivel freático no cumple con las condiciones necesarias","Caudal máximo calculado a partir de la Ley de Darcy (cuando el tanque está lleno).")</f>
        <v>Caudal máximo calculado a partir de la Ley de Darcy (cuando el tanque está lleno).</v>
      </c>
      <c r="K37" s="390"/>
      <c r="L37" s="390"/>
      <c r="M37" s="390"/>
      <c r="N37" s="390"/>
      <c r="O37" s="390"/>
    </row>
    <row r="38" spans="3:15" ht="15" customHeight="1" x14ac:dyDescent="0.25">
      <c r="F38" s="133"/>
      <c r="G38" s="133"/>
      <c r="H38" s="133"/>
      <c r="I38" s="168"/>
      <c r="J38" s="168"/>
      <c r="K38" s="169"/>
      <c r="L38" s="170"/>
      <c r="M38" s="171"/>
      <c r="N38" s="152"/>
      <c r="O38" s="128"/>
    </row>
    <row r="39" spans="3:15" ht="15" customHeight="1" x14ac:dyDescent="0.25">
      <c r="F39" s="366" t="s">
        <v>101</v>
      </c>
      <c r="G39" s="397"/>
      <c r="H39" s="397"/>
      <c r="I39" s="323" t="s">
        <v>102</v>
      </c>
      <c r="J39" s="323"/>
      <c r="K39" s="323"/>
      <c r="L39" s="323"/>
      <c r="M39" s="323"/>
      <c r="N39" s="323"/>
      <c r="O39" s="324"/>
    </row>
    <row r="40" spans="3:15" ht="15" customHeight="1" x14ac:dyDescent="0.25">
      <c r="F40" s="398" t="str">
        <f>IF(OR(I35="",H14="",J21="",J22="",I29="",I30=""),"",IF(I35&gt;=H14,"Ajustar Altura de Tanque","OK"))</f>
        <v/>
      </c>
      <c r="G40" s="399"/>
      <c r="H40" s="399"/>
      <c r="I40" s="323"/>
      <c r="J40" s="323"/>
      <c r="K40" s="323"/>
      <c r="L40" s="323"/>
      <c r="M40" s="323"/>
      <c r="N40" s="323"/>
      <c r="O40" s="324"/>
    </row>
    <row r="41" spans="3:15" ht="15" customHeight="1" x14ac:dyDescent="0.25">
      <c r="F41" s="398"/>
      <c r="G41" s="399"/>
      <c r="H41" s="399"/>
      <c r="I41" s="323"/>
      <c r="J41" s="323"/>
      <c r="K41" s="323"/>
      <c r="L41" s="323"/>
      <c r="M41" s="323"/>
      <c r="N41" s="323"/>
      <c r="O41" s="324"/>
    </row>
    <row r="42" spans="3:15" ht="15" customHeight="1" x14ac:dyDescent="0.25">
      <c r="F42" s="128"/>
      <c r="G42" s="128"/>
      <c r="H42" s="128"/>
      <c r="I42" s="133"/>
      <c r="J42" s="133"/>
      <c r="K42" s="133"/>
      <c r="L42" s="133"/>
      <c r="M42" s="133"/>
      <c r="N42" s="128"/>
      <c r="O42" s="128"/>
    </row>
    <row r="43" spans="3:15" ht="15" customHeight="1" x14ac:dyDescent="0.25">
      <c r="F43" s="366" t="s">
        <v>103</v>
      </c>
      <c r="G43" s="397"/>
      <c r="H43" s="397"/>
      <c r="I43" s="323" t="s">
        <v>104</v>
      </c>
      <c r="J43" s="323"/>
      <c r="K43" s="323"/>
      <c r="L43" s="323"/>
      <c r="M43" s="323"/>
      <c r="N43" s="323"/>
      <c r="O43" s="324"/>
    </row>
    <row r="44" spans="3:15" ht="15" customHeight="1" x14ac:dyDescent="0.25">
      <c r="F44" s="398" t="str">
        <f>IF(OR(I35="",I36="",J21="",J22="",I29="",I30=""),"",IF(I36&gt;=24,"Ajustar Dimensiones","OK"))</f>
        <v/>
      </c>
      <c r="G44" s="399"/>
      <c r="H44" s="399"/>
      <c r="I44" s="323"/>
      <c r="J44" s="323"/>
      <c r="K44" s="323"/>
      <c r="L44" s="323"/>
      <c r="M44" s="323"/>
      <c r="N44" s="323"/>
      <c r="O44" s="324"/>
    </row>
    <row r="45" spans="3:15" ht="15" customHeight="1" x14ac:dyDescent="0.25">
      <c r="F45" s="398"/>
      <c r="G45" s="399"/>
      <c r="H45" s="399"/>
      <c r="I45" s="323"/>
      <c r="J45" s="323"/>
      <c r="K45" s="323"/>
      <c r="L45" s="323"/>
      <c r="M45" s="323"/>
      <c r="N45" s="323"/>
      <c r="O45" s="324"/>
    </row>
    <row r="46" spans="3:15" ht="15" customHeight="1" x14ac:dyDescent="0.25">
      <c r="F46" s="133"/>
      <c r="G46" s="133"/>
      <c r="H46" s="133"/>
      <c r="I46" s="168"/>
      <c r="J46" s="168"/>
      <c r="K46" s="169"/>
      <c r="L46" s="170"/>
      <c r="M46" s="171"/>
      <c r="N46" s="152"/>
      <c r="O46" s="128"/>
    </row>
    <row r="47" spans="3:15" ht="15" customHeight="1" x14ac:dyDescent="0.25">
      <c r="F47" s="99"/>
      <c r="G47" s="99"/>
      <c r="H47" s="99"/>
      <c r="I47" s="99"/>
      <c r="J47" s="99"/>
      <c r="K47" s="99"/>
      <c r="L47" s="99"/>
      <c r="M47" s="99"/>
      <c r="N47" s="99"/>
      <c r="O47" s="99"/>
    </row>
    <row r="48" spans="3:15" ht="15" customHeight="1" x14ac:dyDescent="0.25">
      <c r="F48" s="99"/>
      <c r="G48" s="99"/>
      <c r="H48" s="99"/>
      <c r="I48" s="99"/>
      <c r="J48" s="99"/>
      <c r="K48" s="99"/>
      <c r="L48" s="99"/>
      <c r="M48" s="99"/>
      <c r="N48" s="99"/>
      <c r="O48" s="99"/>
    </row>
    <row r="49" spans="1:18" s="128" customFormat="1" ht="15" customHeight="1" x14ac:dyDescent="0.25">
      <c r="A49" s="120"/>
      <c r="B49" s="120"/>
      <c r="C49" s="120"/>
      <c r="D49" s="120"/>
      <c r="E49" s="120"/>
      <c r="F49" s="99"/>
      <c r="G49" s="99"/>
      <c r="H49" s="99"/>
      <c r="I49" s="99"/>
      <c r="J49" s="99"/>
      <c r="K49" s="99"/>
      <c r="L49" s="99"/>
      <c r="M49" s="99"/>
      <c r="N49" s="99"/>
      <c r="O49" s="99"/>
      <c r="P49" s="120"/>
      <c r="Q49" s="120"/>
      <c r="R49" s="120"/>
    </row>
    <row r="50" spans="1:18" s="128" customFormat="1" ht="15" customHeight="1" x14ac:dyDescent="0.25">
      <c r="A50" s="120"/>
      <c r="B50" s="120"/>
      <c r="C50" s="120"/>
      <c r="D50" s="120"/>
      <c r="E50" s="120"/>
      <c r="F50" s="133"/>
      <c r="G50" s="133"/>
      <c r="H50" s="133"/>
      <c r="I50" s="133"/>
      <c r="J50" s="133"/>
      <c r="K50" s="133"/>
      <c r="L50" s="133"/>
      <c r="M50" s="133"/>
      <c r="P50" s="120"/>
      <c r="Q50" s="120"/>
      <c r="R50" s="120"/>
    </row>
    <row r="51" spans="1:18" s="128" customFormat="1" ht="15" customHeight="1" x14ac:dyDescent="0.25">
      <c r="A51" s="120"/>
      <c r="B51" s="120"/>
      <c r="C51" s="120"/>
      <c r="D51" s="120"/>
      <c r="E51" s="120"/>
      <c r="F51" s="133"/>
      <c r="G51" s="133"/>
      <c r="H51" s="133"/>
      <c r="I51" s="133"/>
      <c r="J51" s="133"/>
      <c r="K51" s="133"/>
      <c r="L51" s="133"/>
      <c r="M51" s="133"/>
      <c r="P51" s="120"/>
      <c r="Q51" s="120"/>
      <c r="R51" s="120"/>
    </row>
    <row r="52" spans="1:18" s="128" customFormat="1" ht="15" customHeight="1" x14ac:dyDescent="0.25">
      <c r="A52" s="120"/>
      <c r="B52" s="120"/>
      <c r="C52" s="120"/>
      <c r="D52" s="120"/>
      <c r="E52" s="120"/>
      <c r="F52" s="133"/>
      <c r="G52" s="133"/>
      <c r="H52" s="133"/>
      <c r="I52" s="133"/>
      <c r="J52" s="133"/>
      <c r="K52" s="133"/>
      <c r="L52" s="133"/>
      <c r="M52" s="133"/>
      <c r="P52" s="120"/>
      <c r="Q52" s="120"/>
      <c r="R52" s="120"/>
    </row>
    <row r="53" spans="1:18" s="128" customFormat="1" ht="15" customHeight="1" x14ac:dyDescent="0.25">
      <c r="A53" s="120"/>
      <c r="B53" s="120"/>
      <c r="C53" s="120"/>
      <c r="D53" s="120"/>
      <c r="E53" s="120"/>
      <c r="F53" s="133"/>
      <c r="G53" s="133"/>
      <c r="H53" s="133"/>
      <c r="I53" s="133"/>
      <c r="J53" s="133"/>
      <c r="K53" s="133"/>
      <c r="L53" s="133"/>
      <c r="M53" s="133"/>
      <c r="P53" s="120"/>
      <c r="Q53" s="120"/>
      <c r="R53" s="120"/>
    </row>
    <row r="54" spans="1:18" s="128" customFormat="1" ht="15" customHeight="1" x14ac:dyDescent="0.25">
      <c r="A54" s="120"/>
      <c r="B54" s="120"/>
      <c r="C54" s="120"/>
      <c r="D54" s="120"/>
      <c r="E54" s="120"/>
      <c r="F54" s="133"/>
      <c r="G54" s="133"/>
      <c r="H54" s="133"/>
      <c r="I54" s="133"/>
      <c r="J54" s="133"/>
      <c r="K54" s="133"/>
      <c r="L54" s="133"/>
      <c r="M54" s="133"/>
      <c r="P54" s="120"/>
      <c r="Q54" s="120"/>
      <c r="R54" s="120"/>
    </row>
    <row r="55" spans="1:18" s="128" customFormat="1" ht="15" customHeight="1" x14ac:dyDescent="0.25">
      <c r="A55" s="120"/>
      <c r="B55" s="120"/>
      <c r="C55" s="120"/>
      <c r="D55" s="120"/>
      <c r="E55" s="120"/>
      <c r="F55" s="133"/>
      <c r="G55" s="133"/>
      <c r="H55" s="133"/>
      <c r="I55" s="133"/>
      <c r="J55" s="133"/>
      <c r="K55" s="133"/>
      <c r="L55" s="133"/>
      <c r="M55" s="133"/>
      <c r="P55" s="120"/>
      <c r="Q55" s="120"/>
      <c r="R55" s="120"/>
    </row>
    <row r="56" spans="1:18" s="128" customFormat="1" ht="15" customHeight="1" x14ac:dyDescent="0.25">
      <c r="A56" s="120"/>
      <c r="B56" s="120"/>
      <c r="C56" s="120"/>
      <c r="D56" s="120"/>
      <c r="E56" s="120"/>
      <c r="F56" s="133"/>
      <c r="G56" s="133"/>
      <c r="H56" s="133"/>
      <c r="I56" s="133"/>
      <c r="J56" s="133"/>
      <c r="K56" s="133"/>
      <c r="L56" s="133"/>
      <c r="M56" s="133"/>
      <c r="P56" s="120"/>
      <c r="Q56" s="120"/>
      <c r="R56" s="120"/>
    </row>
    <row r="57" spans="1:18" s="128" customFormat="1" ht="15" customHeight="1" x14ac:dyDescent="0.25">
      <c r="A57" s="120"/>
      <c r="B57" s="120"/>
      <c r="C57" s="120"/>
      <c r="D57" s="120"/>
      <c r="E57" s="120"/>
      <c r="F57" s="133"/>
      <c r="G57" s="133"/>
      <c r="H57" s="133"/>
      <c r="I57" s="133"/>
      <c r="J57" s="133"/>
      <c r="K57" s="133"/>
      <c r="L57" s="133"/>
      <c r="M57" s="133"/>
      <c r="P57" s="120"/>
      <c r="Q57" s="120"/>
      <c r="R57" s="120"/>
    </row>
    <row r="58" spans="1:18" s="128" customFormat="1" ht="15" customHeight="1" x14ac:dyDescent="0.25">
      <c r="A58" s="120"/>
      <c r="B58" s="120"/>
      <c r="C58" s="120"/>
      <c r="D58" s="120"/>
      <c r="E58" s="120"/>
      <c r="F58" s="133"/>
      <c r="G58" s="133"/>
      <c r="H58" s="133"/>
      <c r="I58" s="133"/>
      <c r="J58" s="133"/>
      <c r="K58" s="133"/>
      <c r="L58" s="133"/>
      <c r="M58" s="133"/>
      <c r="P58" s="120"/>
      <c r="Q58" s="120"/>
      <c r="R58" s="120"/>
    </row>
    <row r="59" spans="1:18" ht="15" customHeight="1" x14ac:dyDescent="0.25">
      <c r="F59" s="210"/>
      <c r="G59" s="210"/>
      <c r="H59" s="210"/>
      <c r="I59" s="187"/>
      <c r="J59" s="187"/>
      <c r="K59" s="187"/>
      <c r="L59" s="187"/>
      <c r="M59" s="187"/>
      <c r="N59" s="187"/>
      <c r="O59" s="187"/>
    </row>
    <row r="60" spans="1:18" ht="15" customHeight="1" x14ac:dyDescent="0.25">
      <c r="F60" s="99"/>
      <c r="G60" s="99"/>
      <c r="H60" s="99"/>
      <c r="I60" s="99"/>
      <c r="J60" s="99"/>
      <c r="K60" s="99"/>
      <c r="L60" s="99"/>
      <c r="M60" s="99"/>
      <c r="N60" s="99"/>
      <c r="O60" s="99"/>
    </row>
    <row r="61" spans="1:18" ht="15" customHeight="1" x14ac:dyDescent="0.25">
      <c r="F61" s="99"/>
      <c r="G61" s="99"/>
      <c r="H61" s="99"/>
      <c r="I61" s="99"/>
      <c r="J61" s="99"/>
      <c r="K61" s="99"/>
      <c r="L61" s="99"/>
      <c r="M61" s="99"/>
      <c r="N61" s="99"/>
      <c r="O61" s="99"/>
    </row>
    <row r="62" spans="1:18" ht="15" customHeight="1" x14ac:dyDescent="0.25">
      <c r="F62" s="99"/>
      <c r="G62" s="99"/>
      <c r="H62" s="99"/>
      <c r="I62" s="99"/>
      <c r="J62" s="99"/>
      <c r="K62" s="99"/>
      <c r="L62" s="99"/>
      <c r="M62" s="99"/>
      <c r="N62" s="99"/>
      <c r="O62" s="99"/>
    </row>
    <row r="63" spans="1:18" ht="15" customHeight="1" x14ac:dyDescent="0.25">
      <c r="F63" s="210"/>
      <c r="G63" s="210"/>
      <c r="H63" s="210"/>
      <c r="I63" s="210"/>
      <c r="J63" s="210"/>
      <c r="K63" s="210"/>
      <c r="L63" s="210"/>
      <c r="M63" s="210"/>
      <c r="N63" s="128"/>
      <c r="O63" s="128"/>
    </row>
    <row r="64" spans="1:18" ht="15" customHeight="1" x14ac:dyDescent="0.25">
      <c r="F64" s="210"/>
      <c r="G64" s="210"/>
      <c r="H64" s="210"/>
      <c r="I64" s="210"/>
      <c r="J64" s="210"/>
      <c r="K64" s="210"/>
      <c r="L64" s="210"/>
      <c r="M64" s="210"/>
      <c r="N64" s="128"/>
      <c r="O64" s="128"/>
    </row>
    <row r="65" spans="6:15" ht="15" customHeight="1" x14ac:dyDescent="0.25">
      <c r="F65" s="211"/>
      <c r="G65" s="211"/>
      <c r="H65" s="211"/>
      <c r="I65" s="211"/>
      <c r="J65" s="211"/>
      <c r="K65" s="211"/>
      <c r="L65" s="187"/>
      <c r="M65" s="187"/>
      <c r="N65" s="187"/>
      <c r="O65" s="187"/>
    </row>
    <row r="66" spans="6:15" ht="15" customHeight="1" x14ac:dyDescent="0.25">
      <c r="F66" s="211"/>
      <c r="G66" s="211"/>
      <c r="H66" s="211"/>
      <c r="I66" s="211"/>
      <c r="J66" s="211"/>
      <c r="K66" s="211"/>
      <c r="L66" s="187"/>
      <c r="M66" s="187"/>
      <c r="N66" s="187"/>
      <c r="O66" s="187"/>
    </row>
    <row r="67" spans="6:15" ht="15" customHeight="1" x14ac:dyDescent="0.25">
      <c r="F67" s="211"/>
      <c r="G67" s="211"/>
      <c r="H67" s="211"/>
      <c r="I67" s="211"/>
      <c r="J67" s="211"/>
      <c r="K67" s="211"/>
      <c r="L67" s="187"/>
      <c r="M67" s="187"/>
      <c r="N67" s="187"/>
      <c r="O67" s="187"/>
    </row>
    <row r="68" spans="6:15" ht="15" customHeight="1" x14ac:dyDescent="0.25">
      <c r="F68" s="207"/>
      <c r="G68" s="209"/>
      <c r="H68" s="209"/>
      <c r="I68" s="209"/>
      <c r="J68" s="207"/>
      <c r="K68" s="207"/>
      <c r="L68" s="187"/>
      <c r="M68" s="187"/>
      <c r="N68" s="187"/>
      <c r="O68" s="187"/>
    </row>
    <row r="69" spans="6:15" ht="15" customHeight="1" x14ac:dyDescent="0.25">
      <c r="F69" s="133"/>
      <c r="G69" s="133"/>
      <c r="H69" s="133"/>
      <c r="I69" s="133"/>
      <c r="J69" s="133"/>
      <c r="K69" s="133"/>
      <c r="L69" s="187"/>
      <c r="M69" s="187"/>
      <c r="N69" s="187"/>
      <c r="O69" s="187"/>
    </row>
    <row r="70" spans="6:15" ht="15" customHeight="1" x14ac:dyDescent="0.25">
      <c r="F70" s="165"/>
      <c r="G70" s="165"/>
      <c r="H70" s="165"/>
      <c r="I70" s="165"/>
      <c r="J70" s="208"/>
      <c r="K70" s="133"/>
      <c r="L70" s="187"/>
      <c r="M70" s="187"/>
      <c r="N70" s="187"/>
      <c r="O70" s="187"/>
    </row>
    <row r="71" spans="6:15" ht="15" customHeight="1" x14ac:dyDescent="0.25">
      <c r="F71" s="165"/>
      <c r="G71" s="165"/>
      <c r="H71" s="165"/>
      <c r="I71" s="165"/>
      <c r="J71" s="208"/>
      <c r="K71" s="133"/>
      <c r="L71" s="187"/>
      <c r="M71" s="187"/>
      <c r="N71" s="187"/>
      <c r="O71" s="187"/>
    </row>
    <row r="72" spans="6:15" ht="15" customHeight="1" x14ac:dyDescent="0.25">
      <c r="F72" s="133"/>
      <c r="G72" s="133"/>
      <c r="H72" s="133"/>
      <c r="I72" s="133"/>
      <c r="J72" s="133"/>
      <c r="K72" s="133"/>
      <c r="L72" s="187"/>
      <c r="M72" s="187"/>
      <c r="N72" s="187"/>
      <c r="O72" s="187"/>
    </row>
    <row r="73" spans="6:15" ht="15" customHeight="1" x14ac:dyDescent="0.25">
      <c r="F73" s="210"/>
      <c r="G73" s="210"/>
      <c r="H73" s="210"/>
      <c r="I73" s="210"/>
      <c r="J73" s="210"/>
      <c r="K73" s="210"/>
      <c r="L73" s="210"/>
      <c r="M73" s="210"/>
      <c r="N73" s="128"/>
      <c r="O73" s="128"/>
    </row>
    <row r="74" spans="6:15" ht="15" customHeight="1" x14ac:dyDescent="0.25">
      <c r="F74" s="210"/>
      <c r="G74" s="210"/>
      <c r="H74" s="210"/>
      <c r="I74" s="210"/>
      <c r="J74" s="210"/>
      <c r="K74" s="210"/>
      <c r="L74" s="210"/>
      <c r="M74" s="210"/>
      <c r="N74" s="128"/>
      <c r="O74" s="128"/>
    </row>
    <row r="75" spans="6:15" ht="15" customHeight="1" x14ac:dyDescent="0.25">
      <c r="F75" s="211"/>
      <c r="G75" s="211"/>
      <c r="H75" s="211"/>
      <c r="I75" s="211"/>
      <c r="J75" s="211"/>
      <c r="K75" s="211"/>
      <c r="L75" s="187"/>
      <c r="M75" s="187"/>
      <c r="N75" s="187"/>
      <c r="O75" s="187"/>
    </row>
    <row r="76" spans="6:15" ht="15" customHeight="1" x14ac:dyDescent="0.25">
      <c r="F76" s="211"/>
      <c r="G76" s="211"/>
      <c r="H76" s="211"/>
      <c r="I76" s="211"/>
      <c r="J76" s="211"/>
      <c r="K76" s="211"/>
      <c r="L76" s="187"/>
      <c r="M76" s="187"/>
      <c r="N76" s="187"/>
      <c r="O76" s="187"/>
    </row>
    <row r="77" spans="6:15" ht="15" customHeight="1" x14ac:dyDescent="0.25">
      <c r="F77" s="211"/>
      <c r="G77" s="211"/>
      <c r="H77" s="211"/>
      <c r="I77" s="211"/>
      <c r="J77" s="211"/>
      <c r="K77" s="211"/>
      <c r="L77" s="187"/>
      <c r="M77" s="187"/>
      <c r="N77" s="187"/>
      <c r="O77" s="187"/>
    </row>
    <row r="78" spans="6:15" ht="15" customHeight="1" x14ac:dyDescent="0.25">
      <c r="F78" s="207"/>
      <c r="G78" s="209"/>
      <c r="H78" s="209"/>
      <c r="I78" s="209"/>
      <c r="J78" s="207"/>
      <c r="K78" s="207"/>
      <c r="L78" s="187"/>
      <c r="M78" s="187"/>
      <c r="N78" s="187"/>
      <c r="O78" s="187"/>
    </row>
    <row r="79" spans="6:15" ht="15" customHeight="1" x14ac:dyDescent="0.25">
      <c r="F79" s="133"/>
      <c r="G79" s="133"/>
      <c r="H79" s="133"/>
      <c r="I79" s="133"/>
      <c r="J79" s="133"/>
      <c r="K79" s="133"/>
      <c r="L79" s="187"/>
      <c r="M79" s="187"/>
      <c r="N79" s="187"/>
      <c r="O79" s="187"/>
    </row>
    <row r="80" spans="6:15" ht="15" customHeight="1" x14ac:dyDescent="0.25">
      <c r="F80" s="165"/>
      <c r="G80" s="165"/>
      <c r="H80" s="165"/>
      <c r="I80" s="165"/>
      <c r="J80" s="208"/>
      <c r="K80" s="133"/>
      <c r="L80" s="187"/>
      <c r="M80" s="187"/>
      <c r="N80" s="187"/>
      <c r="O80" s="187"/>
    </row>
    <row r="81" spans="1:18" ht="15" customHeight="1" x14ac:dyDescent="0.25">
      <c r="F81" s="165"/>
      <c r="G81" s="165"/>
      <c r="H81" s="165"/>
      <c r="I81" s="165"/>
      <c r="J81" s="208"/>
      <c r="K81" s="133"/>
      <c r="L81" s="187"/>
      <c r="M81" s="187"/>
      <c r="N81" s="187"/>
      <c r="O81" s="187"/>
    </row>
    <row r="82" spans="1:18" ht="15" customHeight="1" x14ac:dyDescent="0.25">
      <c r="F82" s="133"/>
      <c r="G82" s="133"/>
      <c r="H82" s="133"/>
      <c r="I82" s="133"/>
      <c r="J82" s="133"/>
      <c r="K82" s="133"/>
      <c r="L82" s="187"/>
      <c r="M82" s="187"/>
      <c r="N82" s="187"/>
      <c r="O82" s="187"/>
    </row>
    <row r="83" spans="1:18" ht="15" customHeight="1" x14ac:dyDescent="0.25">
      <c r="F83" s="150"/>
      <c r="G83" s="150"/>
      <c r="H83" s="150"/>
      <c r="I83" s="150"/>
      <c r="J83" s="150"/>
      <c r="K83" s="150"/>
      <c r="L83" s="150"/>
      <c r="M83" s="150"/>
      <c r="N83" s="99"/>
      <c r="O83" s="99"/>
    </row>
    <row r="84" spans="1:18" ht="15" customHeight="1" x14ac:dyDescent="0.25">
      <c r="F84" s="150"/>
      <c r="G84" s="150"/>
      <c r="H84" s="150"/>
      <c r="I84" s="150"/>
      <c r="J84" s="150"/>
      <c r="K84" s="150"/>
      <c r="L84" s="150"/>
      <c r="M84" s="150"/>
      <c r="N84" s="99"/>
      <c r="O84" s="99"/>
    </row>
    <row r="85" spans="1:18" ht="15" customHeight="1" x14ac:dyDescent="0.25">
      <c r="F85" s="150"/>
      <c r="G85" s="150"/>
      <c r="H85" s="150"/>
      <c r="I85" s="150"/>
      <c r="J85" s="150"/>
      <c r="K85" s="150"/>
      <c r="L85" s="150"/>
      <c r="M85" s="150"/>
      <c r="N85" s="99"/>
      <c r="O85" s="99"/>
    </row>
    <row r="86" spans="1:18" ht="15" customHeight="1" x14ac:dyDescent="0.25">
      <c r="F86" s="211"/>
      <c r="G86" s="211"/>
      <c r="H86" s="211"/>
      <c r="I86" s="211"/>
      <c r="J86" s="211"/>
      <c r="K86" s="211"/>
      <c r="L86" s="187"/>
      <c r="M86" s="187"/>
      <c r="N86" s="187"/>
      <c r="O86" s="187"/>
    </row>
    <row r="87" spans="1:18" ht="15" customHeight="1" x14ac:dyDescent="0.25">
      <c r="F87" s="211"/>
      <c r="G87" s="211"/>
      <c r="H87" s="211"/>
      <c r="I87" s="211"/>
      <c r="J87" s="211"/>
      <c r="K87" s="211"/>
      <c r="L87" s="187"/>
      <c r="M87" s="187"/>
      <c r="N87" s="187"/>
      <c r="O87" s="187"/>
    </row>
    <row r="88" spans="1:18" ht="15" customHeight="1" x14ac:dyDescent="0.25">
      <c r="F88" s="207"/>
      <c r="G88" s="209"/>
      <c r="H88" s="209"/>
      <c r="I88" s="209"/>
      <c r="J88" s="207"/>
      <c r="K88" s="207"/>
      <c r="L88" s="187"/>
      <c r="M88" s="187"/>
      <c r="N88" s="187"/>
      <c r="O88" s="187"/>
    </row>
    <row r="89" spans="1:18" ht="15" customHeight="1" x14ac:dyDescent="0.25">
      <c r="F89" s="133"/>
      <c r="G89" s="133"/>
      <c r="H89" s="133"/>
      <c r="I89" s="133"/>
      <c r="J89" s="133"/>
      <c r="K89" s="133"/>
      <c r="L89" s="187"/>
      <c r="M89" s="187"/>
      <c r="N89" s="187"/>
      <c r="O89" s="187"/>
    </row>
    <row r="90" spans="1:18" ht="15" customHeight="1" x14ac:dyDescent="0.25">
      <c r="F90" s="165"/>
      <c r="G90" s="165"/>
      <c r="H90" s="165"/>
      <c r="I90" s="165"/>
      <c r="J90" s="208"/>
      <c r="K90" s="133"/>
      <c r="L90" s="187"/>
      <c r="M90" s="187"/>
      <c r="N90" s="187"/>
      <c r="O90" s="187"/>
    </row>
    <row r="91" spans="1:18" ht="15" customHeight="1" x14ac:dyDescent="0.25">
      <c r="F91" s="165"/>
      <c r="G91" s="165"/>
      <c r="H91" s="165"/>
      <c r="I91" s="165"/>
      <c r="J91" s="208"/>
      <c r="K91" s="133"/>
      <c r="L91" s="187"/>
      <c r="M91" s="187"/>
      <c r="N91" s="187"/>
      <c r="O91" s="187"/>
    </row>
    <row r="92" spans="1:18" ht="15" customHeight="1" x14ac:dyDescent="0.25">
      <c r="F92" s="133"/>
      <c r="G92" s="133"/>
      <c r="H92" s="133"/>
      <c r="I92" s="133"/>
      <c r="J92" s="133"/>
      <c r="K92" s="133"/>
      <c r="L92" s="187"/>
      <c r="M92" s="187"/>
      <c r="N92" s="187"/>
      <c r="O92" s="187"/>
    </row>
    <row r="93" spans="1:18" s="128" customFormat="1" ht="15" customHeight="1" x14ac:dyDescent="0.25">
      <c r="A93" s="120"/>
      <c r="B93" s="120"/>
      <c r="C93" s="120"/>
      <c r="D93" s="120"/>
      <c r="E93" s="120"/>
      <c r="F93" s="133"/>
      <c r="G93" s="133"/>
      <c r="H93" s="133"/>
      <c r="I93" s="133"/>
      <c r="J93" s="133"/>
      <c r="K93" s="133"/>
      <c r="L93" s="133"/>
      <c r="M93" s="133"/>
      <c r="P93" s="120"/>
      <c r="Q93" s="120"/>
      <c r="R93" s="120"/>
    </row>
    <row r="94" spans="1:18" s="128" customFormat="1" ht="15" customHeight="1" x14ac:dyDescent="0.25">
      <c r="A94" s="120"/>
      <c r="B94" s="120"/>
      <c r="C94" s="120"/>
      <c r="D94" s="120"/>
      <c r="E94" s="120"/>
      <c r="F94" s="133"/>
      <c r="G94" s="133"/>
      <c r="H94" s="133"/>
      <c r="I94" s="133"/>
      <c r="J94" s="133"/>
      <c r="K94" s="133"/>
      <c r="L94" s="133"/>
      <c r="M94" s="133"/>
      <c r="P94" s="120"/>
      <c r="Q94" s="120"/>
      <c r="R94" s="120"/>
    </row>
    <row r="95" spans="1:18" s="128" customFormat="1" ht="15" customHeight="1" x14ac:dyDescent="0.25">
      <c r="A95" s="120"/>
      <c r="B95" s="120"/>
      <c r="C95" s="120"/>
      <c r="D95" s="120"/>
      <c r="E95" s="120"/>
      <c r="F95" s="133"/>
      <c r="G95" s="133"/>
      <c r="H95" s="133"/>
      <c r="I95" s="133"/>
      <c r="J95" s="133"/>
      <c r="K95" s="133"/>
      <c r="L95" s="133"/>
      <c r="M95" s="133"/>
      <c r="P95" s="120"/>
      <c r="Q95" s="120"/>
      <c r="R95" s="120"/>
    </row>
    <row r="96" spans="1:18" s="128" customFormat="1" ht="15" customHeight="1" x14ac:dyDescent="0.25">
      <c r="A96" s="120"/>
      <c r="B96" s="120"/>
      <c r="C96" s="120"/>
      <c r="D96" s="120"/>
      <c r="E96" s="120"/>
      <c r="P96" s="120"/>
      <c r="Q96" s="120"/>
      <c r="R96" s="120"/>
    </row>
    <row r="97" spans="1:18" s="128" customFormat="1" ht="15" customHeight="1" x14ac:dyDescent="0.25">
      <c r="A97" s="120"/>
      <c r="B97" s="120"/>
      <c r="C97" s="120"/>
      <c r="D97" s="120"/>
      <c r="E97" s="120"/>
      <c r="F97" s="210"/>
      <c r="G97" s="210"/>
      <c r="H97" s="210"/>
      <c r="I97" s="210"/>
      <c r="J97" s="210"/>
      <c r="K97" s="210"/>
      <c r="L97" s="210"/>
      <c r="M97" s="210"/>
      <c r="N97" s="210"/>
      <c r="P97" s="120"/>
      <c r="Q97" s="120"/>
      <c r="R97" s="120"/>
    </row>
    <row r="98" spans="1:18" s="128" customFormat="1" ht="15" customHeight="1" x14ac:dyDescent="0.25">
      <c r="A98" s="120"/>
      <c r="B98" s="120"/>
      <c r="C98" s="120"/>
      <c r="D98" s="120"/>
      <c r="E98" s="120"/>
      <c r="F98" s="210"/>
      <c r="G98" s="210"/>
      <c r="H98" s="210"/>
      <c r="I98" s="210"/>
      <c r="J98" s="210"/>
      <c r="K98" s="210"/>
      <c r="L98" s="210"/>
      <c r="M98" s="210"/>
      <c r="N98" s="210"/>
      <c r="P98" s="120"/>
      <c r="Q98" s="120"/>
      <c r="R98" s="120"/>
    </row>
    <row r="99" spans="1:18" s="128" customFormat="1" ht="15" customHeight="1" x14ac:dyDescent="0.25">
      <c r="A99" s="120"/>
      <c r="B99" s="120"/>
      <c r="C99" s="120"/>
      <c r="D99" s="120"/>
      <c r="E99" s="120"/>
      <c r="F99" s="165"/>
      <c r="G99" s="165"/>
      <c r="H99" s="172"/>
      <c r="I99" s="166"/>
      <c r="J99" s="166"/>
      <c r="K99" s="166"/>
      <c r="L99" s="166"/>
      <c r="M99" s="166"/>
      <c r="N99" s="166"/>
      <c r="O99" s="166"/>
      <c r="P99" s="120"/>
      <c r="Q99" s="120"/>
      <c r="R99" s="120"/>
    </row>
    <row r="100" spans="1:18" s="128" customFormat="1" ht="15" customHeight="1" x14ac:dyDescent="0.25">
      <c r="A100" s="120"/>
      <c r="B100" s="120"/>
      <c r="C100" s="120"/>
      <c r="D100" s="120"/>
      <c r="E100" s="120"/>
      <c r="F100" s="165"/>
      <c r="G100" s="165"/>
      <c r="H100" s="172"/>
      <c r="I100" s="167"/>
      <c r="J100" s="167"/>
      <c r="K100" s="167"/>
      <c r="L100" s="167"/>
      <c r="M100" s="167"/>
      <c r="N100" s="167"/>
      <c r="O100" s="167"/>
      <c r="P100" s="120"/>
      <c r="Q100" s="120"/>
      <c r="R100" s="120"/>
    </row>
    <row r="101" spans="1:18" s="128" customFormat="1" ht="15" customHeight="1" x14ac:dyDescent="0.25">
      <c r="A101" s="120"/>
      <c r="B101" s="120"/>
      <c r="C101" s="120"/>
      <c r="D101" s="120"/>
      <c r="E101" s="120"/>
      <c r="F101" s="165"/>
      <c r="G101" s="165"/>
      <c r="H101" s="212"/>
      <c r="I101" s="167"/>
      <c r="J101" s="167"/>
      <c r="K101" s="167"/>
      <c r="L101" s="167"/>
      <c r="M101" s="167"/>
      <c r="N101" s="167"/>
      <c r="O101" s="167"/>
      <c r="P101" s="120"/>
      <c r="Q101" s="120"/>
      <c r="R101" s="120"/>
    </row>
    <row r="102" spans="1:18" s="128" customFormat="1" ht="15" customHeight="1" x14ac:dyDescent="0.25">
      <c r="A102" s="120"/>
      <c r="B102" s="120"/>
      <c r="C102" s="120"/>
      <c r="D102" s="120"/>
      <c r="E102" s="120"/>
      <c r="F102" s="165"/>
      <c r="G102" s="165"/>
      <c r="H102" s="213"/>
      <c r="I102" s="167"/>
      <c r="J102" s="167"/>
      <c r="K102" s="167"/>
      <c r="L102" s="167"/>
      <c r="M102" s="167"/>
      <c r="N102" s="167"/>
      <c r="O102" s="167"/>
      <c r="P102" s="120"/>
      <c r="Q102" s="120"/>
      <c r="R102" s="120"/>
    </row>
    <row r="103" spans="1:18" s="128" customFormat="1" ht="15" customHeight="1" x14ac:dyDescent="0.25">
      <c r="A103" s="120"/>
      <c r="B103" s="120"/>
      <c r="C103" s="120"/>
      <c r="D103" s="120"/>
      <c r="E103" s="120"/>
      <c r="F103" s="133"/>
      <c r="I103" s="133"/>
      <c r="J103" s="133"/>
      <c r="K103" s="133"/>
      <c r="L103" s="133"/>
      <c r="M103" s="133"/>
      <c r="P103" s="120"/>
      <c r="Q103" s="120"/>
      <c r="R103" s="120"/>
    </row>
    <row r="104" spans="1:18" s="128" customFormat="1" ht="15" customHeight="1" x14ac:dyDescent="0.25">
      <c r="A104" s="120"/>
      <c r="B104" s="120"/>
      <c r="C104" s="120"/>
      <c r="D104" s="120"/>
      <c r="E104" s="120"/>
      <c r="F104" s="210"/>
      <c r="G104" s="210"/>
      <c r="H104" s="210"/>
      <c r="I104" s="210"/>
      <c r="J104" s="210"/>
      <c r="K104" s="210"/>
      <c r="L104" s="210"/>
      <c r="M104" s="210"/>
      <c r="N104" s="210"/>
      <c r="P104" s="120"/>
      <c r="Q104" s="120"/>
      <c r="R104" s="120"/>
    </row>
    <row r="105" spans="1:18" s="128" customFormat="1" ht="15" customHeight="1" x14ac:dyDescent="0.25">
      <c r="A105" s="120"/>
      <c r="B105" s="120"/>
      <c r="C105" s="120"/>
      <c r="D105" s="120"/>
      <c r="E105" s="120"/>
      <c r="F105" s="133"/>
      <c r="G105" s="133"/>
      <c r="H105" s="133"/>
      <c r="I105" s="133"/>
      <c r="J105" s="133"/>
      <c r="K105" s="133"/>
      <c r="L105" s="133"/>
      <c r="M105" s="133"/>
      <c r="P105" s="120"/>
      <c r="Q105" s="120"/>
      <c r="R105" s="120"/>
    </row>
    <row r="106" spans="1:18" s="128" customFormat="1" ht="15" customHeight="1" x14ac:dyDescent="0.25">
      <c r="A106" s="123"/>
      <c r="B106" s="123"/>
      <c r="C106" s="123"/>
      <c r="D106" s="123"/>
      <c r="E106" s="120"/>
      <c r="F106" s="150"/>
      <c r="G106" s="150"/>
      <c r="H106" s="150"/>
      <c r="I106" s="150"/>
      <c r="J106" s="150"/>
      <c r="K106" s="150"/>
      <c r="L106" s="150"/>
      <c r="M106" s="150"/>
      <c r="N106" s="99"/>
      <c r="O106" s="99"/>
      <c r="P106" s="120"/>
      <c r="Q106" s="120"/>
      <c r="R106" s="120"/>
    </row>
    <row r="107" spans="1:18" s="128" customFormat="1" ht="15" customHeight="1" x14ac:dyDescent="0.25">
      <c r="A107" s="123"/>
      <c r="B107" s="123"/>
      <c r="C107" s="123"/>
      <c r="D107" s="123"/>
      <c r="E107" s="120"/>
      <c r="F107" s="150"/>
      <c r="G107" s="150"/>
      <c r="H107" s="150"/>
      <c r="I107" s="150"/>
      <c r="J107" s="150"/>
      <c r="K107" s="150"/>
      <c r="L107" s="150"/>
      <c r="M107" s="150"/>
      <c r="N107" s="99"/>
      <c r="O107" s="99"/>
      <c r="P107" s="120"/>
      <c r="Q107" s="120"/>
      <c r="R107" s="120"/>
    </row>
    <row r="108" spans="1:18" s="128" customFormat="1" ht="15" customHeight="1" x14ac:dyDescent="0.25">
      <c r="A108" s="123"/>
      <c r="B108" s="123"/>
      <c r="C108" s="123"/>
      <c r="D108" s="123"/>
      <c r="E108" s="120"/>
      <c r="H108" s="131"/>
      <c r="I108" s="131"/>
      <c r="J108" s="131"/>
      <c r="K108" s="131"/>
      <c r="P108" s="120"/>
      <c r="Q108" s="120"/>
      <c r="R108" s="120"/>
    </row>
    <row r="109" spans="1:18" s="128" customFormat="1" ht="15" customHeight="1" x14ac:dyDescent="0.25">
      <c r="A109" s="123"/>
      <c r="B109" s="123"/>
      <c r="C109" s="123"/>
      <c r="D109" s="123"/>
      <c r="E109" s="120"/>
      <c r="H109" s="131"/>
      <c r="I109" s="131"/>
      <c r="J109" s="131"/>
      <c r="K109" s="131"/>
      <c r="P109" s="120"/>
      <c r="Q109" s="120"/>
      <c r="R109" s="120"/>
    </row>
    <row r="110" spans="1:18" ht="15" hidden="1" customHeight="1" x14ac:dyDescent="0.25">
      <c r="A110" s="123"/>
      <c r="B110" s="123"/>
      <c r="C110" s="123"/>
      <c r="D110" s="123"/>
      <c r="H110" s="122"/>
      <c r="I110" s="122"/>
      <c r="J110" s="122"/>
      <c r="K110" s="122"/>
    </row>
    <row r="111" spans="1:18" ht="15" hidden="1" customHeight="1" x14ac:dyDescent="0.25">
      <c r="A111" s="123"/>
      <c r="B111" s="123"/>
      <c r="C111" s="123"/>
      <c r="D111" s="123"/>
      <c r="H111" s="122"/>
      <c r="I111" s="122"/>
      <c r="J111" s="122"/>
      <c r="K111" s="122"/>
    </row>
    <row r="112" spans="1:18" ht="15" hidden="1" customHeight="1" x14ac:dyDescent="0.25"/>
    <row r="113" ht="15" hidden="1" customHeight="1" x14ac:dyDescent="0.25"/>
    <row r="114" ht="15" hidden="1" customHeight="1" x14ac:dyDescent="0.25"/>
    <row r="115" ht="15" hidden="1" customHeight="1" x14ac:dyDescent="0.25"/>
    <row r="116" ht="15" hidden="1" customHeight="1" x14ac:dyDescent="0.25"/>
  </sheetData>
  <sheetProtection algorithmName="SHA-512" hashValue="j1x+FoYILvku5cUiX23Lg4+R4V8Wq6ksqBTkYZ39MnwWVFCviJLkTF9rF5E6fIp14tq435oe/+yFMpHCOJGXdg==" saltValue="tK9IU1NCBko0DlmygPZzPQ==" spinCount="100000" sheet="1" objects="1" scenarios="1" selectLockedCells="1"/>
  <mergeCells count="43">
    <mergeCell ref="A19:E23"/>
    <mergeCell ref="A24:E29"/>
    <mergeCell ref="F21:I21"/>
    <mergeCell ref="F22:I22"/>
    <mergeCell ref="F29:H29"/>
    <mergeCell ref="A13:E18"/>
    <mergeCell ref="F13:G13"/>
    <mergeCell ref="F14:G14"/>
    <mergeCell ref="A1:E6"/>
    <mergeCell ref="A7:E12"/>
    <mergeCell ref="F12:G12"/>
    <mergeCell ref="F37:H37"/>
    <mergeCell ref="P1:R22"/>
    <mergeCell ref="J30:O30"/>
    <mergeCell ref="J25:L25"/>
    <mergeCell ref="F30:H30"/>
    <mergeCell ref="J29:O29"/>
    <mergeCell ref="J37:O37"/>
    <mergeCell ref="F9:O11"/>
    <mergeCell ref="I12:O15"/>
    <mergeCell ref="F15:G15"/>
    <mergeCell ref="F35:H35"/>
    <mergeCell ref="F36:H36"/>
    <mergeCell ref="J35:O35"/>
    <mergeCell ref="J36:O36"/>
    <mergeCell ref="F16:G16"/>
    <mergeCell ref="F17:G17"/>
    <mergeCell ref="F39:H39"/>
    <mergeCell ref="I39:O41"/>
    <mergeCell ref="F40:H41"/>
    <mergeCell ref="F43:H43"/>
    <mergeCell ref="I43:O45"/>
    <mergeCell ref="F44:H45"/>
    <mergeCell ref="I16:O16"/>
    <mergeCell ref="M21:O25"/>
    <mergeCell ref="I17:O17"/>
    <mergeCell ref="F23:I23"/>
    <mergeCell ref="F24:I24"/>
    <mergeCell ref="F25:I25"/>
    <mergeCell ref="J21:L21"/>
    <mergeCell ref="J22:L22"/>
    <mergeCell ref="J23:L23"/>
    <mergeCell ref="J24:L24"/>
  </mergeCells>
  <conditionalFormatting sqref="H101">
    <cfRule type="expression" dxfId="10" priority="10">
      <formula>$H$31=600</formula>
    </cfRule>
  </conditionalFormatting>
  <conditionalFormatting sqref="J37:O37">
    <cfRule type="expression" dxfId="9" priority="5">
      <formula>$I$37="N.F Superficial"</formula>
    </cfRule>
  </conditionalFormatting>
  <dataValidations xWindow="548" yWindow="408" count="1">
    <dataValidation allowBlank="1" showInputMessage="1" showErrorMessage="1" promptTitle="Profundidad del análisis" prompt="Te recomendamos ver las gráficas de la Ley de Darcy más abajo para mayor entendimiento de este valor." sqref="H17" xr:uid="{C2F4BC14-C960-4B25-8583-235CD748F7B5}"/>
  </dataValidations>
  <pageMargins left="0.7" right="0.7" top="0.75" bottom="0.75" header="0.3" footer="0.3"/>
  <pageSetup orientation="portrait" r:id="rId1"/>
  <ignoredErrors>
    <ignoredError sqref="H15"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8" id="{CA7566B5-76E6-4B99-BD92-D9797AE0B015}">
            <xm:f>IF('DATOS DEL PROYECTO'!$I$38="Si",OR(DIMENSIONAMIENTO_2!$H$11="",DIMENSIONAMIENTO_2!$H$11=0),OR(DIMENSIONAMIENTO!$H$11="",DIMENSIONAMIENTO!$H$11=0))</xm:f>
            <x14:dxf>
              <fill>
                <patternFill>
                  <bgColor rgb="FFFF0000"/>
                </patternFill>
              </fill>
            </x14:dxf>
          </x14:cfRule>
          <xm:sqref>F16:I16</xm:sqref>
        </x14:conditionalFormatting>
        <x14:conditionalFormatting xmlns:xm="http://schemas.microsoft.com/office/excel/2006/main">
          <x14:cfRule type="expression" priority="1" id="{7FF92854-4B4E-4767-820D-196DAEE13A15}">
            <xm:f>IF('DATOS DEL PROYECTO'!$I$38="Si",OR(DIMENSIONAMIENTO_2!$H$12="",DIMENSIONAMIENTO_2!$H$12=0),OR(DIMENSIONAMIENTO!$H$12="",DIMENSIONAMIENTO!$H$12=0))</xm:f>
            <x14:dxf>
              <fill>
                <patternFill>
                  <bgColor rgb="FFFF0000"/>
                </patternFill>
              </fill>
            </x14:dxf>
          </x14:cfRule>
          <xm:sqref>F29:O29</xm:sqref>
        </x14:conditionalFormatting>
      </x14:conditionalFormattings>
    </ext>
    <ext xmlns:x14="http://schemas.microsoft.com/office/spreadsheetml/2009/9/main" uri="{CCE6A557-97BC-4b89-ADB6-D9C93CAAB3DF}">
      <x14:dataValidations xmlns:xm="http://schemas.microsoft.com/office/excel/2006/main" xWindow="548" yWindow="408" count="1">
        <x14:dataValidation type="list" allowBlank="1" showInputMessage="1" showErrorMessage="1" xr:uid="{5D03E5A7-FEDF-4E16-8BBA-303810D01B17}">
          <x14:formula1>
            <xm:f>TABLAS_INF!$I$1:$K$1</xm:f>
          </x14:formula1>
          <xm:sqref>J22:L22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E210A-EDB6-4A91-93C4-68BF1F15111A}">
  <sheetPr codeName="Hoja18">
    <pageSetUpPr autoPageBreaks="0"/>
  </sheetPr>
  <dimension ref="A1:S73"/>
  <sheetViews>
    <sheetView showGridLines="0" showRowColHeaders="0" zoomScale="80" zoomScaleNormal="80" workbookViewId="0">
      <selection activeCell="I37" sqref="I37"/>
    </sheetView>
  </sheetViews>
  <sheetFormatPr baseColWidth="10" defaultColWidth="0" defaultRowHeight="15" zeroHeight="1" x14ac:dyDescent="0.25"/>
  <cols>
    <col min="1" max="17" width="11.42578125" style="120" customWidth="1"/>
    <col min="18" max="18" width="15.85546875" style="120" customWidth="1"/>
    <col min="19" max="21" width="11.42578125" style="120" hidden="1" customWidth="1"/>
    <col min="22" max="16384" width="11.42578125" style="120" hidden="1"/>
  </cols>
  <sheetData>
    <row r="1" spans="1:19" ht="15" customHeight="1" x14ac:dyDescent="0.95">
      <c r="A1" s="299" t="s">
        <v>78</v>
      </c>
      <c r="B1" s="299"/>
      <c r="C1" s="299"/>
      <c r="D1" s="299"/>
      <c r="E1" s="299"/>
      <c r="F1" s="128"/>
      <c r="G1" s="128"/>
      <c r="H1" s="128"/>
      <c r="I1" s="128"/>
      <c r="J1" s="128"/>
      <c r="K1" s="128"/>
      <c r="L1" s="128"/>
      <c r="M1" s="128"/>
      <c r="N1" s="128"/>
      <c r="O1" s="128"/>
      <c r="P1" s="310" t="s">
        <v>1</v>
      </c>
      <c r="Q1" s="310"/>
      <c r="R1" s="310"/>
      <c r="S1" s="121"/>
    </row>
    <row r="2" spans="1:19" ht="15" customHeight="1" x14ac:dyDescent="0.95">
      <c r="A2" s="299"/>
      <c r="B2" s="299"/>
      <c r="C2" s="299"/>
      <c r="D2" s="299"/>
      <c r="E2" s="299"/>
      <c r="F2" s="128"/>
      <c r="G2" s="128"/>
      <c r="H2" s="128"/>
      <c r="I2" s="128"/>
      <c r="J2" s="128"/>
      <c r="K2" s="128"/>
      <c r="L2" s="128"/>
      <c r="M2" s="128"/>
      <c r="N2" s="128"/>
      <c r="O2" s="147"/>
      <c r="P2" s="310"/>
      <c r="Q2" s="310"/>
      <c r="R2" s="310"/>
      <c r="S2" s="121"/>
    </row>
    <row r="3" spans="1:19" ht="15" customHeight="1" x14ac:dyDescent="0.95">
      <c r="A3" s="299"/>
      <c r="B3" s="299"/>
      <c r="C3" s="299"/>
      <c r="D3" s="299"/>
      <c r="E3" s="299"/>
      <c r="F3" s="128"/>
      <c r="G3" s="128"/>
      <c r="H3" s="128"/>
      <c r="I3" s="128"/>
      <c r="J3" s="128"/>
      <c r="K3" s="128"/>
      <c r="L3" s="128"/>
      <c r="M3" s="128"/>
      <c r="N3" s="128"/>
      <c r="O3" s="147"/>
      <c r="P3" s="310"/>
      <c r="Q3" s="310"/>
      <c r="R3" s="310"/>
      <c r="S3" s="121"/>
    </row>
    <row r="4" spans="1:19" ht="15" customHeight="1" x14ac:dyDescent="0.95">
      <c r="A4" s="299"/>
      <c r="B4" s="299"/>
      <c r="C4" s="299"/>
      <c r="D4" s="299"/>
      <c r="E4" s="299"/>
      <c r="F4" s="128"/>
      <c r="G4" s="128"/>
      <c r="H4" s="128"/>
      <c r="I4" s="128"/>
      <c r="J4" s="128"/>
      <c r="K4" s="128"/>
      <c r="L4" s="128"/>
      <c r="M4" s="128"/>
      <c r="N4" s="128"/>
      <c r="O4" s="147"/>
      <c r="P4" s="310"/>
      <c r="Q4" s="310"/>
      <c r="R4" s="310"/>
      <c r="S4" s="121"/>
    </row>
    <row r="5" spans="1:19" ht="15" customHeight="1" x14ac:dyDescent="0.95">
      <c r="A5" s="299"/>
      <c r="B5" s="299"/>
      <c r="C5" s="299"/>
      <c r="D5" s="299"/>
      <c r="E5" s="299"/>
      <c r="F5" s="128"/>
      <c r="G5" s="128"/>
      <c r="H5" s="128"/>
      <c r="I5" s="128"/>
      <c r="J5" s="128"/>
      <c r="K5" s="128"/>
      <c r="L5" s="128"/>
      <c r="M5" s="128"/>
      <c r="N5" s="128"/>
      <c r="O5" s="147"/>
      <c r="P5" s="310"/>
      <c r="Q5" s="310"/>
      <c r="R5" s="310"/>
      <c r="S5" s="121"/>
    </row>
    <row r="6" spans="1:19" ht="15" customHeight="1" x14ac:dyDescent="0.95">
      <c r="A6" s="299"/>
      <c r="B6" s="299"/>
      <c r="C6" s="299"/>
      <c r="D6" s="299"/>
      <c r="E6" s="299"/>
      <c r="F6" s="99"/>
      <c r="G6" s="99"/>
      <c r="H6" s="99"/>
      <c r="I6" s="99"/>
      <c r="J6" s="99"/>
      <c r="K6" s="99"/>
      <c r="L6" s="99"/>
      <c r="M6" s="99"/>
      <c r="N6" s="99"/>
      <c r="O6" s="148"/>
      <c r="P6" s="310"/>
      <c r="Q6" s="310"/>
      <c r="R6" s="310"/>
      <c r="S6" s="121"/>
    </row>
    <row r="7" spans="1:19" ht="15" customHeight="1" x14ac:dyDescent="0.95">
      <c r="A7" s="299" t="s">
        <v>105</v>
      </c>
      <c r="B7" s="299"/>
      <c r="C7" s="299"/>
      <c r="D7" s="299"/>
      <c r="E7" s="299"/>
      <c r="F7" s="99"/>
      <c r="G7" s="99"/>
      <c r="H7" s="99"/>
      <c r="I7" s="99"/>
      <c r="J7" s="99"/>
      <c r="K7" s="99"/>
      <c r="L7" s="99"/>
      <c r="M7" s="99"/>
      <c r="N7" s="99"/>
      <c r="O7" s="148"/>
      <c r="P7" s="310"/>
      <c r="Q7" s="310"/>
      <c r="R7" s="310"/>
      <c r="S7" s="121"/>
    </row>
    <row r="8" spans="1:19" ht="15" customHeight="1" x14ac:dyDescent="0.95">
      <c r="A8" s="299"/>
      <c r="B8" s="299"/>
      <c r="C8" s="299"/>
      <c r="D8" s="299"/>
      <c r="E8" s="299"/>
      <c r="F8" s="99"/>
      <c r="G8" s="99"/>
      <c r="H8" s="99"/>
      <c r="I8" s="99"/>
      <c r="J8" s="99"/>
      <c r="K8" s="99"/>
      <c r="L8" s="99"/>
      <c r="M8" s="99"/>
      <c r="N8" s="99"/>
      <c r="O8" s="148"/>
      <c r="P8" s="310"/>
      <c r="Q8" s="310"/>
      <c r="R8" s="310"/>
      <c r="S8" s="121"/>
    </row>
    <row r="9" spans="1:19" ht="15" customHeight="1" x14ac:dyDescent="0.95">
      <c r="A9" s="299"/>
      <c r="B9" s="299"/>
      <c r="C9" s="299"/>
      <c r="D9" s="299"/>
      <c r="E9" s="299"/>
      <c r="F9" s="376" t="s">
        <v>106</v>
      </c>
      <c r="G9" s="376"/>
      <c r="H9" s="376"/>
      <c r="I9" s="376"/>
      <c r="J9" s="376"/>
      <c r="K9" s="376"/>
      <c r="L9" s="376"/>
      <c r="M9" s="376"/>
      <c r="N9" s="376"/>
      <c r="O9" s="376"/>
      <c r="P9" s="310"/>
      <c r="Q9" s="310"/>
      <c r="R9" s="310"/>
      <c r="S9" s="121"/>
    </row>
    <row r="10" spans="1:19" ht="15" customHeight="1" x14ac:dyDescent="0.95">
      <c r="A10" s="299"/>
      <c r="B10" s="299"/>
      <c r="C10" s="299"/>
      <c r="D10" s="299"/>
      <c r="E10" s="299"/>
      <c r="F10" s="376"/>
      <c r="G10" s="376"/>
      <c r="H10" s="376"/>
      <c r="I10" s="376"/>
      <c r="J10" s="376"/>
      <c r="K10" s="376"/>
      <c r="L10" s="376"/>
      <c r="M10" s="376"/>
      <c r="N10" s="376"/>
      <c r="O10" s="376"/>
      <c r="P10" s="310"/>
      <c r="Q10" s="310"/>
      <c r="R10" s="310"/>
      <c r="S10" s="121"/>
    </row>
    <row r="11" spans="1:19" ht="15" customHeight="1" x14ac:dyDescent="0.25">
      <c r="A11" s="299"/>
      <c r="B11" s="299"/>
      <c r="C11" s="299"/>
      <c r="D11" s="299"/>
      <c r="E11" s="299"/>
      <c r="F11" s="376"/>
      <c r="G11" s="376"/>
      <c r="H11" s="376"/>
      <c r="I11" s="376"/>
      <c r="J11" s="376"/>
      <c r="K11" s="376"/>
      <c r="L11" s="376"/>
      <c r="M11" s="376"/>
      <c r="N11" s="376"/>
      <c r="O11" s="376"/>
      <c r="P11" s="310"/>
      <c r="Q11" s="310"/>
      <c r="R11" s="310"/>
    </row>
    <row r="12" spans="1:19" ht="15" customHeight="1" x14ac:dyDescent="0.25">
      <c r="A12" s="299"/>
      <c r="B12" s="299"/>
      <c r="C12" s="299"/>
      <c r="D12" s="299"/>
      <c r="E12" s="299"/>
      <c r="F12" s="317" t="s">
        <v>79</v>
      </c>
      <c r="G12" s="318"/>
      <c r="H12" s="188">
        <f>IF('DATOS DEL PROYECTO'!I38="No",DIMENSIONAMIENTO!H89,DIMENSIONAMIENTO_2!H21)</f>
        <v>0</v>
      </c>
      <c r="I12" s="404" t="s">
        <v>64</v>
      </c>
      <c r="J12" s="385"/>
      <c r="K12" s="385"/>
      <c r="L12" s="385"/>
      <c r="M12" s="385"/>
      <c r="N12" s="385"/>
      <c r="O12" s="385"/>
      <c r="P12" s="310"/>
      <c r="Q12" s="310"/>
      <c r="R12" s="310"/>
    </row>
    <row r="13" spans="1:19" ht="15" customHeight="1" x14ac:dyDescent="0.25">
      <c r="A13" s="299" t="s">
        <v>107</v>
      </c>
      <c r="B13" s="299"/>
      <c r="C13" s="299"/>
      <c r="D13" s="299"/>
      <c r="E13" s="299"/>
      <c r="F13" s="317" t="s">
        <v>82</v>
      </c>
      <c r="G13" s="318"/>
      <c r="H13" s="188">
        <f>IF('DATOS DEL PROYECTO'!I38="No",DIMENSIONAMIENTO!H88,DIMENSIONAMIENTO_2!H20)</f>
        <v>0</v>
      </c>
      <c r="I13" s="405"/>
      <c r="J13" s="336"/>
      <c r="K13" s="336"/>
      <c r="L13" s="336"/>
      <c r="M13" s="336"/>
      <c r="N13" s="336"/>
      <c r="O13" s="336"/>
      <c r="P13" s="310"/>
      <c r="Q13" s="310"/>
      <c r="R13" s="310"/>
    </row>
    <row r="14" spans="1:19" ht="15" customHeight="1" x14ac:dyDescent="0.25">
      <c r="A14" s="299"/>
      <c r="B14" s="299"/>
      <c r="C14" s="299"/>
      <c r="D14" s="299"/>
      <c r="E14" s="299"/>
      <c r="F14" s="317" t="s">
        <v>83</v>
      </c>
      <c r="G14" s="318"/>
      <c r="H14" s="188" t="str">
        <f>IF('DATOS DEL PROYECTO'!I38="No",DIMENSIONAMIENTO!H87,DIMENSIONAMIENTO_2!H19)</f>
        <v/>
      </c>
      <c r="I14" s="405"/>
      <c r="J14" s="336"/>
      <c r="K14" s="336"/>
      <c r="L14" s="336"/>
      <c r="M14" s="336"/>
      <c r="N14" s="336"/>
      <c r="O14" s="336"/>
      <c r="P14" s="310"/>
      <c r="Q14" s="310"/>
      <c r="R14" s="310"/>
    </row>
    <row r="15" spans="1:19" ht="15" customHeight="1" x14ac:dyDescent="0.25">
      <c r="A15" s="299"/>
      <c r="B15" s="299"/>
      <c r="C15" s="299"/>
      <c r="D15" s="299"/>
      <c r="E15" s="299"/>
      <c r="F15" s="317" t="s">
        <v>108</v>
      </c>
      <c r="G15" s="318"/>
      <c r="H15" s="195">
        <f>+H12*H13</f>
        <v>0</v>
      </c>
      <c r="I15" s="406"/>
      <c r="J15" s="386"/>
      <c r="K15" s="386"/>
      <c r="L15" s="386"/>
      <c r="M15" s="386"/>
      <c r="N15" s="386"/>
      <c r="O15" s="386"/>
      <c r="P15" s="310"/>
      <c r="Q15" s="310"/>
      <c r="R15" s="310"/>
    </row>
    <row r="16" spans="1:19" ht="15" customHeight="1" x14ac:dyDescent="0.25">
      <c r="A16" s="299"/>
      <c r="B16" s="299"/>
      <c r="C16" s="299"/>
      <c r="D16" s="299"/>
      <c r="E16" s="299"/>
      <c r="F16" s="426" t="s">
        <v>109</v>
      </c>
      <c r="G16" s="427"/>
      <c r="H16" s="447" t="str">
        <f>IFERROR(IF('DATOS DEL PROYECTO'!I38="No",IF(DIMENSIONAMIENTO!H81="Aquacell Core",(DIMENSIONAMIENTO!H95*9)/H15,IF(DIMENSIONAMIENTO!H92&gt;0,(DIMENSIONAMIENTO!H95*11+DIMENSIONAMIENTO!H96*2.3)/H15,(DIMENSIONAMIENTO!H95*11+DIMENSIONAMIENTO!H96*2.3+DIMENSIONAMIENTO!H97*3.6)/H15)),IF(DIMENSIONAMIENTO_2!H13="Aquacell Core",(DIMENSIONAMIENTO_2!H27*9)/H15,IF(DIMENSIONAMIENTO_2!H24&gt;0,(DIMENSIONAMIENTO_2!H27*11+DIMENSIONAMIENTO_2!H28*2.3)/H15,(DIMENSIONAMIENTO_2!H27*11+DIMENSIONAMIENTO_2!H28*2.3+DIMENSIONAMIENTO_2!H29*3.6)/H15))),"")</f>
        <v/>
      </c>
      <c r="I16" s="404" t="str">
        <f>IFERROR(IF('DATOS DEL PROYECTO'!I38="No",IF(DIMENSIONAMIENTO!H81="Aquacell Core","Cada celda Aquacell Core tiene un peso de 9 Kg","Cada celda Aquacell NG tiene un peso de 17 Kg en promedio contando los accesorios"),IF(DIMENSIONAMIENTO_2!H13="Aquacell Core","Cada celda Aquacell Core tiene un peso de 9 Kg","Cada celda Aquacell NG tiene un peso de 17 Kg en promedio contando los accesorios")),"")</f>
        <v>Cada celda Aquacell NG tiene un peso de 17 Kg en promedio contando los accesorios</v>
      </c>
      <c r="J16" s="385"/>
      <c r="K16" s="385"/>
      <c r="L16" s="385"/>
      <c r="M16" s="385"/>
      <c r="N16" s="385"/>
      <c r="O16" s="385"/>
      <c r="P16" s="310"/>
      <c r="Q16" s="310"/>
      <c r="R16" s="310"/>
    </row>
    <row r="17" spans="1:18" ht="15" customHeight="1" x14ac:dyDescent="0.25">
      <c r="A17" s="299"/>
      <c r="B17" s="299"/>
      <c r="C17" s="299"/>
      <c r="D17" s="299"/>
      <c r="E17" s="299"/>
      <c r="F17" s="428"/>
      <c r="G17" s="429"/>
      <c r="H17" s="448" t="str">
        <f>IFERROR(ROUNDUP((H13*H14*H15/0.185),0)*9/H16,"")</f>
        <v/>
      </c>
      <c r="I17" s="406"/>
      <c r="J17" s="386"/>
      <c r="K17" s="386"/>
      <c r="L17" s="386"/>
      <c r="M17" s="386"/>
      <c r="N17" s="386"/>
      <c r="O17" s="386"/>
      <c r="P17" s="310"/>
      <c r="Q17" s="310"/>
      <c r="R17" s="310"/>
    </row>
    <row r="18" spans="1:18" ht="15" customHeight="1" x14ac:dyDescent="0.25">
      <c r="A18" s="299"/>
      <c r="B18" s="299"/>
      <c r="C18" s="299"/>
      <c r="D18" s="299"/>
      <c r="E18" s="299"/>
      <c r="F18" s="99"/>
      <c r="G18" s="99"/>
      <c r="H18" s="99"/>
      <c r="I18" s="99"/>
      <c r="J18" s="99"/>
      <c r="K18" s="99"/>
      <c r="L18" s="99"/>
      <c r="M18" s="99"/>
      <c r="N18" s="99"/>
      <c r="O18" s="99"/>
      <c r="P18" s="310"/>
      <c r="Q18" s="310"/>
      <c r="R18" s="310"/>
    </row>
    <row r="19" spans="1:18" ht="15" customHeight="1" x14ac:dyDescent="0.25">
      <c r="A19" s="407"/>
      <c r="B19" s="407"/>
      <c r="C19" s="407"/>
      <c r="D19" s="407"/>
      <c r="E19" s="407"/>
      <c r="F19" s="99"/>
      <c r="G19" s="99"/>
      <c r="H19" s="99"/>
      <c r="I19" s="99"/>
      <c r="J19" s="99"/>
      <c r="K19" s="99"/>
      <c r="L19" s="99"/>
      <c r="M19" s="99"/>
      <c r="N19" s="99"/>
      <c r="O19" s="99"/>
      <c r="P19" s="310"/>
      <c r="Q19" s="310"/>
      <c r="R19" s="310"/>
    </row>
    <row r="20" spans="1:18" ht="15" customHeight="1" x14ac:dyDescent="0.25">
      <c r="A20" s="407"/>
      <c r="B20" s="407"/>
      <c r="C20" s="407"/>
      <c r="D20" s="407"/>
      <c r="E20" s="407"/>
      <c r="F20" s="99"/>
      <c r="G20" s="99"/>
      <c r="H20" s="99"/>
      <c r="I20" s="99"/>
      <c r="J20" s="99"/>
      <c r="K20" s="99"/>
      <c r="L20" s="99"/>
      <c r="M20" s="99"/>
      <c r="N20" s="99"/>
      <c r="O20" s="99"/>
      <c r="P20" s="310"/>
      <c r="Q20" s="310"/>
      <c r="R20" s="310"/>
    </row>
    <row r="21" spans="1:18" ht="15" customHeight="1" x14ac:dyDescent="0.25">
      <c r="A21" s="407"/>
      <c r="B21" s="407"/>
      <c r="C21" s="407"/>
      <c r="D21" s="407"/>
      <c r="E21" s="407"/>
      <c r="F21" s="131"/>
      <c r="G21" s="130"/>
      <c r="H21" s="130"/>
      <c r="I21" s="278"/>
      <c r="J21" s="278"/>
      <c r="K21" s="278"/>
      <c r="L21" s="278"/>
      <c r="M21" s="278"/>
      <c r="N21" s="128"/>
      <c r="O21" s="147"/>
      <c r="P21" s="310"/>
      <c r="Q21" s="310"/>
      <c r="R21" s="310"/>
    </row>
    <row r="22" spans="1:18" ht="15" customHeight="1" x14ac:dyDescent="0.25">
      <c r="A22" s="407"/>
      <c r="B22" s="407"/>
      <c r="C22" s="407"/>
      <c r="D22" s="407"/>
      <c r="E22" s="407"/>
      <c r="F22" s="131"/>
      <c r="G22" s="130"/>
      <c r="H22" s="130"/>
      <c r="I22" s="168"/>
      <c r="J22" s="168"/>
      <c r="K22" s="169"/>
      <c r="L22" s="170"/>
      <c r="M22" s="171"/>
      <c r="N22" s="151"/>
      <c r="O22" s="147"/>
      <c r="P22" s="310"/>
      <c r="Q22" s="310"/>
      <c r="R22" s="310"/>
    </row>
    <row r="23" spans="1:18" ht="15" customHeight="1" x14ac:dyDescent="0.25">
      <c r="A23" s="407"/>
      <c r="B23" s="407"/>
      <c r="C23" s="407"/>
      <c r="D23" s="407"/>
      <c r="E23" s="407"/>
      <c r="F23" s="131"/>
      <c r="G23" s="131"/>
      <c r="H23" s="131"/>
      <c r="I23" s="168"/>
      <c r="J23" s="168"/>
      <c r="K23" s="169"/>
      <c r="L23" s="170"/>
      <c r="M23" s="171"/>
      <c r="N23" s="152"/>
      <c r="O23" s="147"/>
      <c r="P23" s="243"/>
      <c r="Q23" s="243"/>
      <c r="R23" s="243"/>
    </row>
    <row r="24" spans="1:18" ht="15" customHeight="1" x14ac:dyDescent="0.25">
      <c r="A24" s="407"/>
      <c r="B24" s="407"/>
      <c r="C24" s="407"/>
      <c r="D24" s="407"/>
      <c r="E24" s="407"/>
      <c r="F24" s="131"/>
      <c r="G24" s="131"/>
      <c r="H24" s="131"/>
      <c r="I24" s="168"/>
      <c r="J24" s="168"/>
      <c r="K24" s="169"/>
      <c r="L24" s="170"/>
      <c r="M24" s="171"/>
      <c r="N24" s="152"/>
      <c r="O24" s="147"/>
      <c r="P24" s="243"/>
      <c r="Q24" s="243"/>
      <c r="R24" s="243"/>
    </row>
    <row r="25" spans="1:18" ht="15" customHeight="1" x14ac:dyDescent="0.25">
      <c r="A25" s="408"/>
      <c r="B25" s="408"/>
      <c r="C25" s="408"/>
      <c r="D25" s="408"/>
      <c r="E25" s="408"/>
      <c r="F25" s="128"/>
      <c r="G25" s="128"/>
      <c r="H25" s="128"/>
      <c r="I25" s="128"/>
      <c r="J25" s="128"/>
      <c r="K25" s="128"/>
      <c r="L25" s="128"/>
      <c r="M25" s="128"/>
      <c r="N25" s="128"/>
      <c r="O25" s="128"/>
      <c r="P25" s="146"/>
      <c r="Q25" s="146"/>
      <c r="R25" s="146"/>
    </row>
    <row r="26" spans="1:18" ht="15" customHeight="1" x14ac:dyDescent="0.25">
      <c r="A26" s="408"/>
      <c r="B26" s="408"/>
      <c r="C26" s="408"/>
      <c r="D26" s="408"/>
      <c r="E26" s="408"/>
      <c r="F26" s="128"/>
      <c r="G26" s="128"/>
      <c r="H26" s="128"/>
      <c r="I26" s="128"/>
      <c r="J26" s="128"/>
      <c r="K26" s="128"/>
      <c r="L26" s="128"/>
      <c r="M26" s="128"/>
      <c r="N26" s="128"/>
      <c r="O26" s="128"/>
    </row>
    <row r="27" spans="1:18" ht="15" customHeight="1" x14ac:dyDescent="0.25">
      <c r="A27" s="408"/>
      <c r="B27" s="408"/>
      <c r="C27" s="408"/>
      <c r="D27" s="408"/>
      <c r="E27" s="408"/>
      <c r="F27" s="128"/>
      <c r="G27" s="128"/>
      <c r="H27" s="128"/>
      <c r="I27" s="128"/>
      <c r="J27" s="128"/>
      <c r="K27" s="128"/>
      <c r="L27" s="128"/>
      <c r="M27" s="128"/>
      <c r="N27" s="128"/>
      <c r="O27" s="128"/>
    </row>
    <row r="28" spans="1:18" ht="15" customHeight="1" x14ac:dyDescent="0.25">
      <c r="A28" s="408"/>
      <c r="B28" s="408"/>
      <c r="C28" s="408"/>
      <c r="D28" s="408"/>
      <c r="E28" s="408"/>
      <c r="F28" s="128"/>
      <c r="G28" s="128"/>
      <c r="H28" s="128"/>
      <c r="I28" s="128"/>
      <c r="J28" s="128"/>
      <c r="K28" s="128"/>
      <c r="L28" s="128"/>
      <c r="M28" s="128"/>
      <c r="N28" s="128"/>
      <c r="O28" s="128"/>
    </row>
    <row r="29" spans="1:18" ht="15" customHeight="1" x14ac:dyDescent="0.25">
      <c r="A29" s="408"/>
      <c r="B29" s="408"/>
      <c r="C29" s="408"/>
      <c r="D29" s="408"/>
      <c r="E29" s="408"/>
      <c r="F29" s="128"/>
      <c r="G29" s="128"/>
      <c r="H29" s="128"/>
      <c r="I29" s="128"/>
      <c r="J29" s="128"/>
      <c r="K29" s="128"/>
      <c r="L29" s="128"/>
      <c r="M29" s="128"/>
      <c r="N29" s="128"/>
      <c r="O29" s="128"/>
    </row>
    <row r="30" spans="1:18" ht="15" customHeight="1" x14ac:dyDescent="0.25">
      <c r="A30" s="408"/>
      <c r="B30" s="408"/>
      <c r="C30" s="408"/>
      <c r="D30" s="408"/>
      <c r="E30" s="408"/>
      <c r="F30" s="128"/>
      <c r="G30" s="128"/>
      <c r="H30" s="128"/>
      <c r="I30" s="128"/>
      <c r="J30" s="128"/>
      <c r="K30" s="128"/>
      <c r="L30" s="128"/>
      <c r="M30" s="128"/>
      <c r="N30" s="128"/>
      <c r="O30" s="128"/>
    </row>
    <row r="31" spans="1:18" ht="15" customHeight="1" x14ac:dyDescent="0.25">
      <c r="F31" s="133"/>
      <c r="G31" s="133"/>
      <c r="H31" s="133"/>
      <c r="I31" s="168"/>
      <c r="J31" s="168"/>
      <c r="K31" s="169"/>
      <c r="L31" s="170"/>
      <c r="M31" s="171"/>
      <c r="N31" s="152"/>
      <c r="O31" s="128"/>
    </row>
    <row r="32" spans="1:18" ht="15" customHeight="1" x14ac:dyDescent="0.25">
      <c r="F32" s="133"/>
      <c r="G32" s="133"/>
      <c r="H32" s="133"/>
      <c r="I32" s="168"/>
      <c r="J32" s="168"/>
      <c r="K32" s="169"/>
      <c r="L32" s="170"/>
      <c r="M32" s="171"/>
      <c r="N32" s="152"/>
      <c r="O32" s="128"/>
    </row>
    <row r="33" spans="1:18" s="128" customFormat="1" ht="15" customHeight="1" x14ac:dyDescent="0.25">
      <c r="A33" s="120"/>
      <c r="B33" s="120"/>
      <c r="C33" s="120"/>
      <c r="D33" s="120"/>
      <c r="E33" s="120"/>
      <c r="F33" s="133"/>
      <c r="G33" s="133"/>
      <c r="H33" s="133"/>
      <c r="I33" s="168"/>
      <c r="J33" s="168"/>
      <c r="K33" s="169"/>
      <c r="L33" s="170"/>
      <c r="M33" s="171"/>
      <c r="N33" s="152"/>
      <c r="P33" s="120"/>
      <c r="Q33" s="120"/>
      <c r="R33" s="120"/>
    </row>
    <row r="34" spans="1:18" s="128" customFormat="1" ht="15" customHeight="1" x14ac:dyDescent="0.25">
      <c r="A34" s="120"/>
      <c r="B34" s="120"/>
      <c r="C34" s="120"/>
      <c r="D34" s="120"/>
      <c r="E34" s="120"/>
      <c r="F34" s="133"/>
      <c r="G34" s="133"/>
      <c r="H34" s="133"/>
      <c r="I34" s="168"/>
      <c r="J34" s="168"/>
      <c r="K34" s="169"/>
      <c r="L34" s="170"/>
      <c r="M34" s="171"/>
      <c r="N34" s="152"/>
      <c r="P34" s="120"/>
      <c r="Q34" s="120"/>
      <c r="R34" s="120"/>
    </row>
    <row r="35" spans="1:18" s="128" customFormat="1" ht="15" customHeight="1" x14ac:dyDescent="0.25">
      <c r="A35" s="120"/>
      <c r="B35" s="120"/>
      <c r="C35" s="120"/>
      <c r="D35" s="120"/>
      <c r="E35" s="120"/>
      <c r="F35" s="133"/>
      <c r="G35" s="133"/>
      <c r="H35" s="133"/>
      <c r="I35" s="168"/>
      <c r="J35" s="168"/>
      <c r="K35" s="169"/>
      <c r="L35" s="170"/>
      <c r="M35" s="171"/>
      <c r="N35" s="152"/>
      <c r="P35" s="120"/>
      <c r="Q35" s="120"/>
      <c r="R35" s="120"/>
    </row>
    <row r="36" spans="1:18" s="128" customFormat="1" ht="15" customHeight="1" x14ac:dyDescent="0.25">
      <c r="A36" s="120"/>
      <c r="B36" s="120"/>
      <c r="C36" s="120"/>
      <c r="D36" s="120"/>
      <c r="E36" s="120"/>
      <c r="J36" s="168"/>
      <c r="K36" s="169"/>
      <c r="L36" s="170"/>
      <c r="M36" s="171"/>
      <c r="N36" s="152" t="str">
        <f>+$H$16</f>
        <v/>
      </c>
      <c r="P36" s="120"/>
      <c r="Q36" s="120"/>
      <c r="R36" s="120"/>
    </row>
    <row r="37" spans="1:18" s="128" customFormat="1" ht="15" customHeight="1" x14ac:dyDescent="0.25">
      <c r="A37" s="120"/>
      <c r="B37" s="120"/>
      <c r="C37" s="120"/>
      <c r="D37" s="120"/>
      <c r="E37" s="120"/>
      <c r="F37" s="338" t="s">
        <v>111</v>
      </c>
      <c r="G37" s="338"/>
      <c r="H37" s="317"/>
      <c r="I37" s="228"/>
      <c r="J37" s="326" t="s">
        <v>3066</v>
      </c>
      <c r="K37" s="446"/>
      <c r="L37" s="446"/>
      <c r="M37" s="446"/>
      <c r="N37" s="446"/>
      <c r="O37" s="446"/>
      <c r="P37" s="120"/>
      <c r="Q37" s="120"/>
      <c r="R37" s="120"/>
    </row>
    <row r="38" spans="1:18" s="128" customFormat="1" ht="15" customHeight="1" x14ac:dyDescent="0.25">
      <c r="A38" s="120"/>
      <c r="B38" s="120"/>
      <c r="C38" s="120"/>
      <c r="D38" s="120"/>
      <c r="E38" s="120"/>
      <c r="F38" s="338" t="s">
        <v>110</v>
      </c>
      <c r="G38" s="338"/>
      <c r="H38" s="317"/>
      <c r="I38" s="188" t="str">
        <f>IF(I37="","",I37-IF('DATOS DEL PROYECTO'!I38="No",DIMENSIONAMIENTO!H85,DIMENSIONAMIENTO_2!H17))</f>
        <v/>
      </c>
      <c r="J38" s="326" t="s">
        <v>3067</v>
      </c>
      <c r="K38" s="446"/>
      <c r="L38" s="446"/>
      <c r="M38" s="446"/>
      <c r="N38" s="446"/>
      <c r="O38" s="446"/>
      <c r="P38" s="120"/>
      <c r="Q38" s="120"/>
      <c r="R38" s="120"/>
    </row>
    <row r="39" spans="1:18" s="128" customFormat="1" ht="15" customHeight="1" x14ac:dyDescent="0.25">
      <c r="A39" s="120"/>
      <c r="B39" s="120"/>
      <c r="C39" s="120"/>
      <c r="D39" s="120"/>
      <c r="E39" s="279" t="str">
        <f>IF('DATOS DEL PROYECTO'!J22="","",'DATOS DEL PROYECTO'!J22)</f>
        <v/>
      </c>
      <c r="F39" s="338" t="s">
        <v>3064</v>
      </c>
      <c r="G39" s="338"/>
      <c r="H39" s="317"/>
      <c r="I39" s="188" t="str">
        <f>IF(I37="","",I37-E39)</f>
        <v/>
      </c>
      <c r="J39" s="326" t="s">
        <v>3065</v>
      </c>
      <c r="K39" s="446"/>
      <c r="L39" s="446"/>
      <c r="M39" s="446"/>
      <c r="N39" s="446"/>
      <c r="O39" s="446"/>
      <c r="P39" s="120"/>
      <c r="Q39" s="120"/>
      <c r="R39" s="120"/>
    </row>
    <row r="40" spans="1:18" s="128" customFormat="1" ht="15" customHeight="1" x14ac:dyDescent="0.25">
      <c r="A40" s="120"/>
      <c r="B40" s="120"/>
      <c r="C40" s="120"/>
      <c r="D40" s="120"/>
      <c r="E40" s="120"/>
      <c r="F40" s="338" t="s">
        <v>112</v>
      </c>
      <c r="G40" s="338"/>
      <c r="H40" s="317"/>
      <c r="I40" s="195" t="str">
        <f>IFERROR((I37-I38)+H14,"")</f>
        <v/>
      </c>
      <c r="J40" s="440"/>
      <c r="K40" s="441"/>
      <c r="L40" s="441"/>
      <c r="M40" s="441"/>
      <c r="N40" s="441"/>
      <c r="O40" s="441"/>
      <c r="P40" s="120"/>
      <c r="Q40" s="120"/>
      <c r="R40" s="120"/>
    </row>
    <row r="41" spans="1:18" s="128" customFormat="1" ht="15" customHeight="1" x14ac:dyDescent="0.25">
      <c r="A41" s="120"/>
      <c r="B41" s="120"/>
      <c r="C41" s="120"/>
      <c r="D41" s="120"/>
      <c r="E41" s="120"/>
      <c r="F41" s="338" t="s">
        <v>113</v>
      </c>
      <c r="G41" s="338"/>
      <c r="H41" s="317"/>
      <c r="I41" s="195" t="str">
        <f>IFERROR(IF(I40="","",IF(I40-E39&gt;I40,"Terreno inundado",I40-I42)),"")</f>
        <v/>
      </c>
      <c r="J41" s="442"/>
      <c r="K41" s="443"/>
      <c r="L41" s="443"/>
      <c r="M41" s="443"/>
      <c r="N41" s="443"/>
      <c r="O41" s="443"/>
      <c r="P41" s="120"/>
      <c r="Q41" s="120"/>
      <c r="R41" s="120"/>
    </row>
    <row r="42" spans="1:18" s="128" customFormat="1" ht="15" customHeight="1" x14ac:dyDescent="0.25">
      <c r="A42" s="120"/>
      <c r="B42" s="120"/>
      <c r="C42" s="120"/>
      <c r="D42" s="120"/>
      <c r="E42" s="120"/>
      <c r="F42" s="338" t="s">
        <v>114</v>
      </c>
      <c r="G42" s="338"/>
      <c r="H42" s="317"/>
      <c r="I42" s="195" t="str">
        <f>IFERROR(IF(I40="","",I40-E39),"")</f>
        <v/>
      </c>
      <c r="J42" s="444"/>
      <c r="K42" s="445"/>
      <c r="L42" s="445"/>
      <c r="M42" s="445"/>
      <c r="N42" s="445"/>
      <c r="O42" s="445"/>
      <c r="P42" s="120"/>
      <c r="Q42" s="120"/>
      <c r="R42" s="120"/>
    </row>
    <row r="43" spans="1:18" s="128" customFormat="1" ht="15" customHeight="1" x14ac:dyDescent="0.25">
      <c r="A43" s="120"/>
      <c r="B43" s="120"/>
      <c r="C43" s="120"/>
      <c r="D43" s="120"/>
      <c r="E43" s="120"/>
      <c r="F43" s="133"/>
      <c r="G43" s="133"/>
      <c r="H43" s="133"/>
      <c r="I43" s="168"/>
      <c r="J43" s="168"/>
      <c r="K43" s="169"/>
      <c r="L43" s="170"/>
      <c r="M43" s="171"/>
      <c r="N43" s="152" t="str">
        <f>+$H$16</f>
        <v/>
      </c>
      <c r="P43" s="120"/>
      <c r="Q43" s="120"/>
      <c r="R43" s="120"/>
    </row>
    <row r="44" spans="1:18" ht="15" customHeight="1" x14ac:dyDescent="0.25">
      <c r="F44" s="150"/>
      <c r="G44" s="150"/>
      <c r="H44" s="150"/>
      <c r="I44" s="150"/>
      <c r="J44" s="150"/>
      <c r="K44" s="150"/>
      <c r="L44" s="150"/>
      <c r="M44" s="150"/>
      <c r="N44" s="99"/>
      <c r="O44" s="99"/>
    </row>
    <row r="45" spans="1:18" ht="15" customHeight="1" x14ac:dyDescent="0.25">
      <c r="F45" s="150"/>
      <c r="G45" s="150"/>
      <c r="H45" s="150"/>
      <c r="I45" s="150"/>
      <c r="J45" s="150"/>
      <c r="K45" s="150"/>
      <c r="L45" s="150"/>
      <c r="M45" s="150"/>
      <c r="N45" s="99"/>
      <c r="O45" s="99"/>
    </row>
    <row r="46" spans="1:18" ht="15" customHeight="1" x14ac:dyDescent="0.25">
      <c r="F46" s="150"/>
      <c r="G46" s="150"/>
      <c r="H46" s="150"/>
      <c r="I46" s="150"/>
      <c r="J46" s="150"/>
      <c r="K46" s="150"/>
      <c r="L46" s="150"/>
      <c r="M46" s="150"/>
      <c r="N46" s="99"/>
      <c r="O46" s="99"/>
    </row>
    <row r="47" spans="1:18" ht="15" customHeight="1" x14ac:dyDescent="0.25">
      <c r="F47" s="426" t="s">
        <v>115</v>
      </c>
      <c r="G47" s="427"/>
      <c r="H47" s="430">
        <f>IF('DATOS DEL PROYECTO'!I38="No",DIMENSIONAMIENTO!R100,DIMENSIONAMIENTO_2!R32)</f>
        <v>2170</v>
      </c>
      <c r="I47" s="431"/>
      <c r="J47" s="434" t="s">
        <v>3068</v>
      </c>
      <c r="K47" s="435"/>
      <c r="L47" s="435"/>
      <c r="M47" s="435"/>
      <c r="N47" s="435"/>
      <c r="O47" s="435"/>
    </row>
    <row r="48" spans="1:18" ht="15" customHeight="1" x14ac:dyDescent="0.25">
      <c r="F48" s="428"/>
      <c r="G48" s="429"/>
      <c r="H48" s="432"/>
      <c r="I48" s="433"/>
      <c r="J48" s="436"/>
      <c r="K48" s="437"/>
      <c r="L48" s="437"/>
      <c r="M48" s="437"/>
      <c r="N48" s="437"/>
      <c r="O48" s="437"/>
    </row>
    <row r="49" spans="1:18" ht="15" customHeight="1" x14ac:dyDescent="0.25">
      <c r="F49" s="426" t="s">
        <v>116</v>
      </c>
      <c r="G49" s="427"/>
      <c r="H49" s="430">
        <f>IF('DATOS DEL PROYECTO'!I38="No",DIMENSIONAMIENTO!R102,DIMENSIONAMIENTO!R102)</f>
        <v>1860</v>
      </c>
      <c r="I49" s="431"/>
      <c r="J49" s="436"/>
      <c r="K49" s="437"/>
      <c r="L49" s="437"/>
      <c r="M49" s="437"/>
      <c r="N49" s="437"/>
      <c r="O49" s="437"/>
    </row>
    <row r="50" spans="1:18" ht="15" customHeight="1" x14ac:dyDescent="0.25">
      <c r="F50" s="428"/>
      <c r="G50" s="429"/>
      <c r="H50" s="432"/>
      <c r="I50" s="433"/>
      <c r="J50" s="438"/>
      <c r="K50" s="439"/>
      <c r="L50" s="439"/>
      <c r="M50" s="439"/>
      <c r="N50" s="439"/>
      <c r="O50" s="439"/>
    </row>
    <row r="51" spans="1:18" ht="15" customHeight="1" x14ac:dyDescent="0.25">
      <c r="F51" s="424"/>
      <c r="G51" s="425"/>
      <c r="H51" s="329"/>
      <c r="I51" s="329"/>
      <c r="J51" s="329"/>
      <c r="K51" s="329"/>
      <c r="L51" s="329"/>
      <c r="M51" s="329"/>
      <c r="N51" s="329"/>
      <c r="O51" s="329"/>
    </row>
    <row r="52" spans="1:18" ht="15" customHeight="1" x14ac:dyDescent="0.25">
      <c r="F52" s="99"/>
      <c r="G52" s="99"/>
      <c r="H52" s="99"/>
      <c r="I52" s="99"/>
      <c r="J52" s="99"/>
      <c r="K52" s="99"/>
      <c r="L52" s="99"/>
      <c r="M52" s="99"/>
      <c r="N52" s="99"/>
      <c r="O52" s="99"/>
    </row>
    <row r="53" spans="1:18" ht="15" customHeight="1" x14ac:dyDescent="0.25">
      <c r="F53" s="99"/>
      <c r="G53" s="99"/>
      <c r="H53" s="99"/>
      <c r="I53" s="99"/>
      <c r="J53" s="99"/>
      <c r="K53" s="99"/>
      <c r="L53" s="99"/>
      <c r="M53" s="99"/>
      <c r="N53" s="99"/>
      <c r="O53" s="99"/>
    </row>
    <row r="54" spans="1:18" ht="15" customHeight="1" x14ac:dyDescent="0.25">
      <c r="F54" s="99"/>
      <c r="G54" s="99"/>
      <c r="H54" s="99"/>
      <c r="I54" s="99"/>
      <c r="J54" s="99"/>
      <c r="K54" s="99"/>
      <c r="L54" s="99"/>
      <c r="M54" s="99"/>
      <c r="N54" s="99"/>
      <c r="O54" s="99"/>
    </row>
    <row r="55" spans="1:18" ht="15" customHeight="1" x14ac:dyDescent="0.25">
      <c r="F55" s="414" t="s">
        <v>117</v>
      </c>
      <c r="G55" s="415"/>
      <c r="H55" s="415"/>
      <c r="I55" s="417" t="str">
        <f>IF(OR(H47="",E39=""),"",IFERROR(IF(E39&lt;I40,I42*1000,"No hay N.F., Tanque no flotará"),""))</f>
        <v/>
      </c>
      <c r="J55" s="417"/>
      <c r="K55" s="418" t="s">
        <v>2761</v>
      </c>
      <c r="L55" s="419"/>
      <c r="M55" s="419"/>
      <c r="N55" s="419"/>
      <c r="O55" s="419"/>
    </row>
    <row r="56" spans="1:18" ht="15" customHeight="1" x14ac:dyDescent="0.25">
      <c r="F56" s="414"/>
      <c r="G56" s="415"/>
      <c r="H56" s="415"/>
      <c r="I56" s="417"/>
      <c r="J56" s="417"/>
      <c r="K56" s="420"/>
      <c r="L56" s="421"/>
      <c r="M56" s="421"/>
      <c r="N56" s="421"/>
      <c r="O56" s="421"/>
    </row>
    <row r="57" spans="1:18" ht="15" customHeight="1" x14ac:dyDescent="0.25">
      <c r="F57" s="414" t="s">
        <v>118</v>
      </c>
      <c r="G57" s="415"/>
      <c r="H57" s="415"/>
      <c r="I57" s="374" t="str">
        <f>IF(OR(H47="",I41=""),"",IF(I41="Terreno inundado","",IF(E39&gt;(I37-I38),(I37-I38)*H47+H16,(I41*H47)+((I37-I38-E39)*H49)+H16)))</f>
        <v/>
      </c>
      <c r="J57" s="374"/>
      <c r="K57" s="420"/>
      <c r="L57" s="421"/>
      <c r="M57" s="421"/>
      <c r="N57" s="421"/>
      <c r="O57" s="421"/>
    </row>
    <row r="58" spans="1:18" ht="15" customHeight="1" x14ac:dyDescent="0.25">
      <c r="F58" s="414"/>
      <c r="G58" s="415"/>
      <c r="H58" s="415"/>
      <c r="I58" s="374"/>
      <c r="J58" s="374"/>
      <c r="K58" s="422"/>
      <c r="L58" s="423"/>
      <c r="M58" s="423"/>
      <c r="N58" s="423"/>
      <c r="O58" s="423"/>
    </row>
    <row r="59" spans="1:18" ht="15" customHeight="1" x14ac:dyDescent="0.25">
      <c r="F59" s="414" t="s">
        <v>119</v>
      </c>
      <c r="G59" s="415"/>
      <c r="H59" s="415"/>
      <c r="I59" s="374" t="str">
        <f>IFERROR(IF(OR(H47="",I57=""),"",IF(I55="No hay N.F.,Tanque no flotará","",IF(I41="Terreno inundado","",I57/I55))),"")</f>
        <v/>
      </c>
      <c r="J59" s="374"/>
      <c r="K59" s="349" t="str">
        <f>IF(H47="","",IF(I59="","",IF(I59&lt;1.2,"FSF incorrecto: Colocar atraques y/o aumentar el relleno","FSF correcto")))</f>
        <v/>
      </c>
      <c r="L59" s="349"/>
      <c r="M59" s="349"/>
      <c r="N59" s="349"/>
      <c r="O59" s="416"/>
    </row>
    <row r="60" spans="1:18" ht="15" customHeight="1" x14ac:dyDescent="0.25">
      <c r="F60" s="414"/>
      <c r="G60" s="415"/>
      <c r="H60" s="415"/>
      <c r="I60" s="374"/>
      <c r="J60" s="374"/>
      <c r="K60" s="349"/>
      <c r="L60" s="349"/>
      <c r="M60" s="349"/>
      <c r="N60" s="349"/>
      <c r="O60" s="416"/>
    </row>
    <row r="61" spans="1:18" ht="15" customHeight="1" x14ac:dyDescent="0.25">
      <c r="F61" s="133"/>
      <c r="G61" s="133"/>
      <c r="H61" s="133"/>
      <c r="I61" s="133"/>
      <c r="J61" s="133"/>
      <c r="K61" s="133"/>
      <c r="L61" s="187"/>
      <c r="M61" s="187"/>
      <c r="N61" s="187"/>
      <c r="O61" s="280"/>
    </row>
    <row r="62" spans="1:18" s="128" customFormat="1" ht="15" customHeight="1" x14ac:dyDescent="0.25">
      <c r="A62" s="120"/>
      <c r="B62" s="120"/>
      <c r="C62" s="120"/>
      <c r="D62" s="120"/>
      <c r="E62" s="120"/>
      <c r="F62" s="150"/>
      <c r="G62" s="150"/>
      <c r="H62" s="150"/>
      <c r="I62" s="150"/>
      <c r="J62" s="150"/>
      <c r="K62" s="150"/>
      <c r="L62" s="150"/>
      <c r="M62" s="150"/>
      <c r="N62" s="99"/>
      <c r="O62" s="99"/>
      <c r="P62" s="120"/>
      <c r="Q62" s="120"/>
      <c r="R62" s="120"/>
    </row>
    <row r="63" spans="1:18" s="128" customFormat="1" ht="15" customHeight="1" x14ac:dyDescent="0.25">
      <c r="A63" s="120"/>
      <c r="B63" s="120"/>
      <c r="C63" s="120"/>
      <c r="D63" s="120"/>
      <c r="E63" s="120"/>
      <c r="F63" s="150"/>
      <c r="G63" s="150"/>
      <c r="H63" s="150"/>
      <c r="I63" s="150"/>
      <c r="J63" s="150"/>
      <c r="K63" s="150"/>
      <c r="L63" s="150"/>
      <c r="M63" s="150"/>
      <c r="N63" s="99"/>
      <c r="O63" s="99"/>
      <c r="P63" s="120"/>
      <c r="Q63" s="120"/>
      <c r="R63" s="120"/>
    </row>
    <row r="64" spans="1:18" s="128" customFormat="1" ht="15" customHeight="1" x14ac:dyDescent="0.25">
      <c r="A64" s="120"/>
      <c r="B64" s="120"/>
      <c r="C64" s="120"/>
      <c r="D64" s="120"/>
      <c r="E64" s="120"/>
      <c r="F64" s="150"/>
      <c r="G64" s="150"/>
      <c r="H64" s="150"/>
      <c r="I64" s="150"/>
      <c r="J64" s="150"/>
      <c r="K64" s="150"/>
      <c r="L64" s="150"/>
      <c r="M64" s="150"/>
      <c r="N64" s="99"/>
      <c r="O64" s="99"/>
      <c r="P64" s="120"/>
      <c r="Q64" s="120"/>
      <c r="R64" s="120"/>
    </row>
    <row r="65" spans="1:18" s="128" customFormat="1" ht="15" customHeight="1" x14ac:dyDescent="0.25">
      <c r="A65" s="120"/>
      <c r="B65" s="120"/>
      <c r="C65" s="120"/>
      <c r="D65" s="120"/>
      <c r="E65" s="120"/>
      <c r="F65" s="414" t="s">
        <v>120</v>
      </c>
      <c r="G65" s="415"/>
      <c r="H65" s="415"/>
      <c r="I65" s="374" t="str">
        <f>IFERROR(IF(H47="","",IF(OR(I55="No hay N.F., Tanque no flotará",I55=""),"",((1.2*I55)/(H47)))),"")</f>
        <v/>
      </c>
      <c r="J65" s="374"/>
      <c r="K65" s="410"/>
      <c r="L65" s="411"/>
      <c r="M65" s="411"/>
      <c r="N65" s="411"/>
      <c r="O65" s="411"/>
      <c r="P65" s="120"/>
      <c r="Q65" s="120"/>
      <c r="R65" s="120"/>
    </row>
    <row r="66" spans="1:18" s="128" customFormat="1" ht="15" customHeight="1" x14ac:dyDescent="0.25">
      <c r="A66" s="120"/>
      <c r="B66" s="120"/>
      <c r="C66" s="120"/>
      <c r="D66" s="120"/>
      <c r="E66" s="120"/>
      <c r="F66" s="414"/>
      <c r="G66" s="415"/>
      <c r="H66" s="415"/>
      <c r="I66" s="374"/>
      <c r="J66" s="374"/>
      <c r="K66" s="412"/>
      <c r="L66" s="413"/>
      <c r="M66" s="413"/>
      <c r="N66" s="413"/>
      <c r="O66" s="413"/>
      <c r="P66" s="120"/>
      <c r="Q66" s="120"/>
      <c r="R66" s="120"/>
    </row>
    <row r="67" spans="1:18" s="128" customFormat="1" ht="15" customHeight="1" x14ac:dyDescent="0.25">
      <c r="A67" s="120"/>
      <c r="B67" s="120"/>
      <c r="C67" s="120"/>
      <c r="D67" s="120"/>
      <c r="E67" s="120"/>
      <c r="F67" s="133"/>
      <c r="G67" s="133"/>
      <c r="H67" s="133"/>
      <c r="I67" s="133"/>
      <c r="J67" s="133"/>
      <c r="K67" s="133"/>
      <c r="L67" s="133"/>
      <c r="M67" s="133"/>
      <c r="P67" s="120"/>
      <c r="Q67" s="120"/>
      <c r="R67" s="120"/>
    </row>
    <row r="68" spans="1:18" s="128" customFormat="1" ht="15" customHeight="1" x14ac:dyDescent="0.25">
      <c r="A68" s="123"/>
      <c r="B68" s="123"/>
      <c r="C68" s="123"/>
      <c r="D68" s="123"/>
      <c r="E68" s="120"/>
      <c r="F68" s="150"/>
      <c r="G68" s="150"/>
      <c r="H68" s="150"/>
      <c r="I68" s="150"/>
      <c r="J68" s="150"/>
      <c r="K68" s="150"/>
      <c r="L68" s="150"/>
      <c r="M68" s="150"/>
      <c r="N68" s="99"/>
      <c r="O68" s="99"/>
      <c r="P68" s="120"/>
      <c r="Q68" s="120"/>
      <c r="R68" s="120"/>
    </row>
    <row r="69" spans="1:18" s="128" customFormat="1" ht="15" customHeight="1" x14ac:dyDescent="0.25">
      <c r="A69" s="123"/>
      <c r="B69" s="123"/>
      <c r="C69" s="123"/>
      <c r="D69" s="123"/>
      <c r="E69" s="120"/>
      <c r="F69" s="150"/>
      <c r="G69" s="150"/>
      <c r="H69" s="150"/>
      <c r="I69" s="150"/>
      <c r="J69" s="150"/>
      <c r="K69" s="150"/>
      <c r="L69" s="150"/>
      <c r="M69" s="150"/>
      <c r="N69" s="99"/>
      <c r="O69" s="99"/>
      <c r="P69" s="120"/>
      <c r="Q69" s="120"/>
      <c r="R69" s="120"/>
    </row>
    <row r="70" spans="1:18" s="128" customFormat="1" ht="15" customHeight="1" x14ac:dyDescent="0.25">
      <c r="A70" s="123"/>
      <c r="B70" s="123"/>
      <c r="C70" s="123"/>
      <c r="D70" s="123"/>
      <c r="E70" s="120"/>
      <c r="H70" s="131"/>
      <c r="I70" s="131"/>
      <c r="J70" s="131"/>
      <c r="K70" s="131"/>
      <c r="P70" s="120"/>
      <c r="Q70" s="120"/>
      <c r="R70" s="120"/>
    </row>
    <row r="71" spans="1:18" s="128" customFormat="1" ht="15" customHeight="1" x14ac:dyDescent="0.25">
      <c r="A71" s="123"/>
      <c r="B71" s="123"/>
      <c r="C71" s="123"/>
      <c r="D71" s="123"/>
      <c r="E71" s="120"/>
      <c r="H71" s="131"/>
      <c r="I71" s="131"/>
      <c r="J71" s="131"/>
      <c r="K71" s="131"/>
      <c r="P71" s="120"/>
      <c r="Q71" s="120"/>
      <c r="R71" s="120"/>
    </row>
    <row r="72" spans="1:18" ht="15" hidden="1" customHeight="1" x14ac:dyDescent="0.25">
      <c r="A72" s="123"/>
      <c r="B72" s="123"/>
      <c r="C72" s="123"/>
      <c r="D72" s="123"/>
      <c r="H72" s="122"/>
      <c r="I72" s="122"/>
      <c r="J72" s="122"/>
      <c r="K72" s="122"/>
    </row>
    <row r="73" spans="1:18" ht="15" hidden="1" customHeight="1" x14ac:dyDescent="0.25">
      <c r="A73" s="123"/>
      <c r="B73" s="123"/>
      <c r="C73" s="123"/>
      <c r="D73" s="123"/>
      <c r="H73" s="122"/>
      <c r="I73" s="122"/>
      <c r="J73" s="122"/>
      <c r="K73" s="122"/>
    </row>
  </sheetData>
  <sheetProtection algorithmName="SHA-512" hashValue="Fmme/8nefAfc7rVFuhUHOIWuCMom1nBSa8eb//1bSBK3oZgF48PbLft4lOm/fM1rkSJtlUDjFzDHuu8Ffz89UQ==" saltValue="4pf2dqhvcwjNQVSHooabvA==" spinCount="100000" sheet="1" objects="1" scenarios="1" selectLockedCells="1"/>
  <dataConsolidate/>
  <mergeCells count="44">
    <mergeCell ref="P1:R22"/>
    <mergeCell ref="F9:O11"/>
    <mergeCell ref="J37:O37"/>
    <mergeCell ref="A1:E6"/>
    <mergeCell ref="A7:E12"/>
    <mergeCell ref="F12:G12"/>
    <mergeCell ref="F13:G13"/>
    <mergeCell ref="F14:G14"/>
    <mergeCell ref="A25:E30"/>
    <mergeCell ref="A13:E18"/>
    <mergeCell ref="F16:G17"/>
    <mergeCell ref="H16:H17"/>
    <mergeCell ref="I16:O17"/>
    <mergeCell ref="I12:O15"/>
    <mergeCell ref="F15:G15"/>
    <mergeCell ref="A19:E24"/>
    <mergeCell ref="J38:O38"/>
    <mergeCell ref="J39:O39"/>
    <mergeCell ref="F37:H37"/>
    <mergeCell ref="F38:H38"/>
    <mergeCell ref="F39:H39"/>
    <mergeCell ref="F42:H42"/>
    <mergeCell ref="I57:J58"/>
    <mergeCell ref="H51:I51"/>
    <mergeCell ref="F51:G51"/>
    <mergeCell ref="J51:O51"/>
    <mergeCell ref="F47:G48"/>
    <mergeCell ref="H47:I48"/>
    <mergeCell ref="F49:G50"/>
    <mergeCell ref="H49:I50"/>
    <mergeCell ref="J47:O50"/>
    <mergeCell ref="J40:O42"/>
    <mergeCell ref="F40:H40"/>
    <mergeCell ref="F41:H41"/>
    <mergeCell ref="K65:O66"/>
    <mergeCell ref="I59:J60"/>
    <mergeCell ref="F65:H66"/>
    <mergeCell ref="F57:H58"/>
    <mergeCell ref="F55:H56"/>
    <mergeCell ref="F59:H60"/>
    <mergeCell ref="K59:O60"/>
    <mergeCell ref="I65:J66"/>
    <mergeCell ref="I55:J56"/>
    <mergeCell ref="K55:O58"/>
  </mergeCells>
  <conditionalFormatting sqref="K59:O60">
    <cfRule type="expression" dxfId="6" priority="1">
      <formula>$K$59="FSF incorrecto: Colocar atraques y/o aumentar el relleno"</formula>
    </cfRule>
    <cfRule type="expression" dxfId="5" priority="2">
      <formula>$K$59="FSF correcto"</formula>
    </cfRule>
  </conditionalFormatting>
  <pageMargins left="0.7" right="0.7" top="0.75" bottom="0.75" header="0.3" footer="0.3"/>
  <pageSetup orientation="portrait" r:id="rId1"/>
  <ignoredErrors>
    <ignoredError sqref="H15 H17 H48:I48 I47 H50:I50 I49 H49 H47"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9E998151FFE142B2502D8C566AD390" ma:contentTypeVersion="10" ma:contentTypeDescription="Create a new document." ma:contentTypeScope="" ma:versionID="776d610048761480e624f7e2774a640c">
  <xsd:schema xmlns:xsd="http://www.w3.org/2001/XMLSchema" xmlns:xs="http://www.w3.org/2001/XMLSchema" xmlns:p="http://schemas.microsoft.com/office/2006/metadata/properties" xmlns:ns3="656951ca-bf7e-4c40-9a74-932e6c1e054a" xmlns:ns4="1330c404-4593-41be-bf02-c31de7d336e6" targetNamespace="http://schemas.microsoft.com/office/2006/metadata/properties" ma:root="true" ma:fieldsID="4e48ad5a8a931afb4e878fe717d28d8e" ns3:_="" ns4:_="">
    <xsd:import namespace="656951ca-bf7e-4c40-9a74-932e6c1e054a"/>
    <xsd:import namespace="1330c404-4593-41be-bf02-c31de7d336e6"/>
    <xsd:element name="properties">
      <xsd:complexType>
        <xsd:sequence>
          <xsd:element name="documentManagement">
            <xsd:complexType>
              <xsd:all>
                <xsd:element ref="ns3:MediaServiceMetadata" minOccurs="0"/>
                <xsd:element ref="ns3:MediaServiceFastMetadata" minOccurs="0"/>
                <xsd:element ref="ns3:MediaServiceDateTaken"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6951ca-bf7e-4c40-9a74-932e6c1e05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30c404-4593-41be-bf02-c31de7d336e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Q D A A B Q S w M E F A A C A A g A e j 9 l U z u P s 4 W k A A A A 9 Q A A A B I A H A B D b 2 5 m a W c v U G F j a 2 F n Z S 5 4 b W w g o h g A K K A U A A A A A A A A A A A A A A A A A A A A A A A A A A A A h Y 8 x D o I w G I W v Q r r T 1 m o M k p 8 y s E o 0 M T G u T a n Q C M X Q Y r m b g 0 f y C m I U d X N 8 3 / u G 9 + 7 X G 6 R D U w c X 1 V n d m g T N M E W B M r I t t C k T 1 L t j G K G U w 1 b I k y h V M M r G x o M t E l Q 5 d 4 4 J 8 d 5 j P 8 d t V x J G 6 Y w c 8 v V O V q o R 6 C P r / 3 K o j X X C S I U 4 7 F 9 j O M O r J Y 4 W D F M g E 4 N c m 2 / P x r n P 9 g d C 1 t e u 7 x R X N s w 2 Q K Y I 5 H 2 B P w B Q S w M E F A A C A A g A e j 9 l 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o / Z V M o i k e 4 D g A A A B E A A A A T A B w A R m 9 y b X V s Y X M v U 2 V j d G l v b j E u b S C i G A A o o B Q A A A A A A A A A A A A A A A A A A A A A A A A A A A A r T k 0 u y c z P U w i G 0 I b W A F B L A Q I t A B Q A A g A I A H o / Z V M 7 j 7 O F p A A A A P U A A A A S A A A A A A A A A A A A A A A A A A A A A A B D b 2 5 m a W c v U G F j a 2 F n Z S 5 4 b W x Q S w E C L Q A U A A I A C A B 6 P 2 V T D 8 r p q 6 Q A A A D p A A A A E w A A A A A A A A A A A A A A A A D w A A A A W 0 N v b n R l b n R f V H l w Z X N d L n h t b F B L A Q I t A B Q A A g A I A H o / Z V M 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3 5 a G V y 1 Y T a o x t F D f E A s q A A A A A A I A A A A A A A N m A A D A A A A A E A A A A B 2 F x T F w 9 8 K n h j r C v l U Z C 8 I A A A A A B I A A A K A A A A A Q A A A A n I h Z D 8 D E J a d W v k w U / b J 1 6 V A A A A A W f z i I l t 3 g Y 4 h S s R 0 Y V G y 5 y G V / f 0 L H T d 9 6 p d l k X + k F G I r s a P S p j Z q C l B j t x Z s M H X W J v a 2 V N 1 O P f a G P I e O g m W y 5 u d G L D N c U a y x V I D z S l q t P p h Q A A A D L Q W h W W J z K w 1 5 N m b O z g s B i P F 6 1 5 w = = < / D a t a M a s h u p > 
</file>

<file path=customXml/itemProps1.xml><?xml version="1.0" encoding="utf-8"?>
<ds:datastoreItem xmlns:ds="http://schemas.openxmlformats.org/officeDocument/2006/customXml" ds:itemID="{F8143E9B-8C5F-4900-93CB-7AC185958FF5}">
  <ds:schemaRefs>
    <ds:schemaRef ds:uri="http://schemas.microsoft.com/office/2006/metadata/contentType"/>
    <ds:schemaRef ds:uri="http://schemas.microsoft.com/office/2006/metadata/properties/metaAttributes"/>
    <ds:schemaRef ds:uri="http://www.w3.org/2000/xmlns/"/>
    <ds:schemaRef ds:uri="http://www.w3.org/2001/XMLSchema"/>
    <ds:schemaRef ds:uri="656951ca-bf7e-4c40-9a74-932e6c1e054a"/>
    <ds:schemaRef ds:uri="1330c404-4593-41be-bf02-c31de7d336e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F72787D-D849-4538-9AE7-E48FBDE62E28}">
  <ds:schemaRefs>
    <ds:schemaRef ds:uri="http://schemas.microsoft.com/sharepoint/v3/contenttype/forms"/>
  </ds:schemaRefs>
</ds:datastoreItem>
</file>

<file path=customXml/itemProps3.xml><?xml version="1.0" encoding="utf-8"?>
<ds:datastoreItem xmlns:ds="http://schemas.openxmlformats.org/officeDocument/2006/customXml" ds:itemID="{B2909AE2-3176-4BA6-B108-AB5E6292D475}">
  <ds:schemaRefs>
    <ds:schemaRef ds:uri="1330c404-4593-41be-bf02-c31de7d336e6"/>
    <ds:schemaRef ds:uri="http://purl.org/dc/dcmitype/"/>
    <ds:schemaRef ds:uri="http://purl.org/dc/elements/1.1/"/>
    <ds:schemaRef ds:uri="http://schemas.microsoft.com/office/2006/metadata/properties"/>
    <ds:schemaRef ds:uri="http://schemas.openxmlformats.org/package/2006/metadata/core-properties"/>
    <ds:schemaRef ds:uri="http://purl.org/dc/terms/"/>
    <ds:schemaRef ds:uri="http://www.w3.org/XML/1998/namespace"/>
    <ds:schemaRef ds:uri="656951ca-bf7e-4c40-9a74-932e6c1e054a"/>
    <ds:schemaRef ds:uri="http://schemas.microsoft.com/office/2006/documentManagement/types"/>
    <ds:schemaRef ds:uri="http://schemas.microsoft.com/office/infopath/2007/PartnerControls"/>
  </ds:schemaRefs>
</ds:datastoreItem>
</file>

<file path=customXml/itemProps4.xml><?xml version="1.0" encoding="utf-8"?>
<ds:datastoreItem xmlns:ds="http://schemas.openxmlformats.org/officeDocument/2006/customXml" ds:itemID="{604F8589-E1C9-48B3-BBF2-5804045B4A8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11</vt:i4>
      </vt:variant>
    </vt:vector>
  </HeadingPairs>
  <TitlesOfParts>
    <vt:vector size="12" baseType="lpstr">
      <vt:lpstr>ADVERTENCIA</vt:lpstr>
      <vt:lpstr>AQ_CEDP</vt:lpstr>
      <vt:lpstr>AQ_DDP</vt:lpstr>
      <vt:lpstr>AQ_NDP</vt:lpstr>
      <vt:lpstr>AQ_UDP</vt:lpstr>
      <vt:lpstr>CT_CORE!Área_de_impresión</vt:lpstr>
      <vt:lpstr>CT_NG!Área_de_impresión</vt:lpstr>
      <vt:lpstr>D_NOM_C</vt:lpstr>
      <vt:lpstr>D_NOM_NG</vt:lpstr>
      <vt:lpstr>DDP</vt:lpstr>
      <vt:lpstr>NDP</vt:lpstr>
      <vt:lpstr>UDP</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juan.zambrano@wavin.com</dc:creator>
  <cp:keywords/>
  <dc:description/>
  <cp:lastModifiedBy>Juan Felipe Zambrano | Orbia (Wavin)</cp:lastModifiedBy>
  <cp:revision/>
  <dcterms:created xsi:type="dcterms:W3CDTF">2013-02-11T16:57:26Z</dcterms:created>
  <dcterms:modified xsi:type="dcterms:W3CDTF">2023-12-11T16:21:08Z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0x010100479E998151FFE142B2502D8C566AD390</vt:lpwstr>
  </property>
</Properties>
</file>